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922" activeTab="0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Caisse Livre" sheetId="32" r:id="rId32"/>
  </sheets>
  <definedNames>
    <definedName name="_xlnm.Print_Area" localSheetId="0">'01'!$A$1:$S$33</definedName>
    <definedName name="_xlnm.Print_Area" localSheetId="1">'02'!$A$1:$S$33</definedName>
    <definedName name="_xlnm.Print_Area" localSheetId="2">'03'!$A$1:$S$33</definedName>
    <definedName name="_xlnm.Print_Area" localSheetId="3">'04'!$A$1:$S$33</definedName>
    <definedName name="_xlnm.Print_Area" localSheetId="4">'05'!$A$1:$S$33</definedName>
    <definedName name="_xlnm.Print_Area" localSheetId="5">'06'!$A$1:$S$33</definedName>
    <definedName name="_xlnm.Print_Area" localSheetId="6">'07'!$A$1:$S$33</definedName>
    <definedName name="_xlnm.Print_Area" localSheetId="7">'08'!$A$1:$S$33</definedName>
    <definedName name="_xlnm.Print_Area" localSheetId="8">'09'!$A$1:$S$33</definedName>
    <definedName name="_xlnm.Print_Area" localSheetId="9">'10'!$A$1:$S$33</definedName>
    <definedName name="_xlnm.Print_Area" localSheetId="10">'11'!$A$1:$S$33</definedName>
    <definedName name="_xlnm.Print_Area" localSheetId="11">'12'!$A$1:$S$33</definedName>
    <definedName name="_xlnm.Print_Area" localSheetId="12">'13'!$A$1:$S$33</definedName>
    <definedName name="_xlnm.Print_Area" localSheetId="13">'14'!$A$1:$S$33</definedName>
    <definedName name="_xlnm.Print_Area" localSheetId="14">'15'!$A$1:$S$33</definedName>
    <definedName name="_xlnm.Print_Area" localSheetId="15">'16'!$A$1:$S$33</definedName>
    <definedName name="_xlnm.Print_Area" localSheetId="16">'17'!$A$1:$S$33</definedName>
    <definedName name="_xlnm.Print_Area" localSheetId="17">'18'!$A$1:$S$33</definedName>
    <definedName name="_xlnm.Print_Area" localSheetId="18">'19'!$A$1:$S$33</definedName>
    <definedName name="_xlnm.Print_Area" localSheetId="19">'20'!$A$1:$S$33</definedName>
    <definedName name="_xlnm.Print_Area" localSheetId="20">'21'!$A$1:$S$33</definedName>
    <definedName name="_xlnm.Print_Area" localSheetId="21">'22'!$A$1:$S$33</definedName>
    <definedName name="_xlnm.Print_Area" localSheetId="22">'23'!$A$1:$S$33</definedName>
    <definedName name="_xlnm.Print_Area" localSheetId="23">'24'!$A$1:$S$33</definedName>
    <definedName name="_xlnm.Print_Area" localSheetId="24">'25'!$A$1:$S$33</definedName>
    <definedName name="_xlnm.Print_Area" localSheetId="25">'26'!$A$1:$S$33</definedName>
    <definedName name="_xlnm.Print_Area" localSheetId="26">'27'!$A$1:$S$33</definedName>
    <definedName name="_xlnm.Print_Area" localSheetId="27">'28'!$A$1:$S$33</definedName>
    <definedName name="_xlnm.Print_Area" localSheetId="28">'29'!$A$1:$S$33</definedName>
    <definedName name="_xlnm.Print_Area" localSheetId="29">'30'!$A$1:$S$33</definedName>
    <definedName name="_xlnm.Print_Area" localSheetId="30">'31'!$A$1:$S$33</definedName>
    <definedName name="_xlnm.Print_Area" localSheetId="31">'Caisse Livre'!$B$1:$U$43</definedName>
    <definedName name="Excel_BuiltIn_Print_Area_2_1">'02'!$A$1:$S$48</definedName>
    <definedName name="Excel_BuiltIn_Print_Area_3_1">'03'!$A$1:$S$48</definedName>
    <definedName name="Excel_BuiltIn_Print_Area_4_1">'04'!$A$1:$S$48</definedName>
    <definedName name="Excel_BuiltIn_Print_Area_5_1">'05'!$A$1:$S$48</definedName>
    <definedName name="Excel_BuiltIn_Print_Area_6_1">'06'!$A$1:$S$48</definedName>
    <definedName name="Excel_BuiltIn_Print_Area_7_1">'07'!$A$1:$S$48</definedName>
    <definedName name="Excel_BuiltIn_Print_Area_8_1">'08'!$A$1:$S$48</definedName>
    <definedName name="Excel_BuiltIn_Print_Area_9_1">'09'!$A$1:$S$48</definedName>
    <definedName name="Excel_BuiltIn_Print_Area_10_1">'10'!$A$1:$S$48</definedName>
    <definedName name="Excel_BuiltIn_Print_Area_11_1">'11'!$A$1:$S$48</definedName>
    <definedName name="Excel_BuiltIn_Print_Area_12_1">'12'!$A$1:$S$48</definedName>
    <definedName name="Excel_BuiltIn_Print_Area_13_1">'13'!$A$1:$S$48</definedName>
    <definedName name="Excel_BuiltIn_Print_Area_14_1">'14'!$A$1:$S$48</definedName>
    <definedName name="Excel_BuiltIn_Print_Area_15_1">'15'!$A$1:$S$48</definedName>
    <definedName name="Excel_BuiltIn_Print_Area_16_1">'16'!$A$1:$S$48</definedName>
    <definedName name="Excel_BuiltIn_Print_Area_17_1">'17'!$A$1:$S$48</definedName>
    <definedName name="Excel_BuiltIn_Print_Area_18_1">'18'!$A$1:$S$48</definedName>
    <definedName name="Excel_BuiltIn_Print_Area_19_1">'19'!$A$1:$S$48</definedName>
    <definedName name="Excel_BuiltIn_Print_Area_20_1">'20'!$A$1:$S$48</definedName>
    <definedName name="Excel_BuiltIn_Print_Area_21_1">'21'!$A$1:$S$48</definedName>
    <definedName name="Excel_BuiltIn_Print_Area_22_1">'22'!$A$1:$S$48</definedName>
    <definedName name="Excel_BuiltIn_Print_Area_23_1">'23'!$A$1:$S$48</definedName>
    <definedName name="Excel_BuiltIn_Print_Area_24_1">'24'!$A$1:$S$48</definedName>
    <definedName name="Excel_BuiltIn_Print_Area_25_1">'25'!$A$1:$S$48</definedName>
    <definedName name="Excel_BuiltIn_Print_Area_26_1">'26'!$A$1:$S$48</definedName>
    <definedName name="Excel_BuiltIn_Print_Area_27_1">'27'!$A$1:$S$48</definedName>
    <definedName name="Excel_BuiltIn_Print_Area_28_1">'28'!$A$1:$S$48</definedName>
    <definedName name="Excel_BuiltIn_Print_Area_29_1">'29'!$A$1:$S$48</definedName>
    <definedName name="Excel_BuiltIn_Print_Area_30_1">'30'!$A$1:$S$48</definedName>
    <definedName name="Excel_BuiltIn_Print_Area_31_1">'31'!$A$1:$S$48</definedName>
    <definedName name="banksys">'02'!$E$7</definedName>
    <definedName name="banksys___3">'03'!$E$7</definedName>
    <definedName name="banksys___4">'04'!$E$7</definedName>
    <definedName name="banksys___5">'05'!$E$7</definedName>
    <definedName name="banksys___6">'06'!$E$7</definedName>
    <definedName name="banksys___7">'07'!$E$7</definedName>
    <definedName name="banksys___8">'08'!$E$7</definedName>
    <definedName name="banksys___9">'09'!$E$7</definedName>
    <definedName name="banksys___10">'10'!$E$7</definedName>
    <definedName name="banksys___11">'11'!$E$7</definedName>
    <definedName name="banksys___12">'12'!$E$7</definedName>
    <definedName name="banksys___13">'13'!$E$7</definedName>
    <definedName name="banksys___14">'14'!$E$7</definedName>
    <definedName name="banksys___15">'15'!$E$7</definedName>
    <definedName name="banksys___16">'16'!$E$7</definedName>
    <definedName name="banksys___17">'17'!$E$7</definedName>
    <definedName name="banksys___18">'18'!$E$7</definedName>
    <definedName name="banksys___19">'19'!$E$7</definedName>
    <definedName name="banksys___20">'20'!$E$7</definedName>
    <definedName name="banksys___21">'21'!$E$7</definedName>
    <definedName name="banksys___22">'22'!$E$7</definedName>
    <definedName name="banksys___23">'23'!$E$7</definedName>
    <definedName name="banksys___24">'24'!$E$7</definedName>
    <definedName name="banksys___25">'25'!$E$7</definedName>
    <definedName name="banksys___26">'26'!$E$7</definedName>
    <definedName name="banksys___27">'27'!$E$7</definedName>
    <definedName name="banksys___28">'28'!$E$7</definedName>
    <definedName name="banksys___29">'29'!$E$7</definedName>
    <definedName name="banksys___30">'30'!$E$7</definedName>
    <definedName name="banksys___31">'31'!$E$7</definedName>
    <definedName name="banksys___0">'01'!$E$7</definedName>
    <definedName name="ca_12">'02'!$E$27</definedName>
    <definedName name="ca_12___3">'03'!$E$27</definedName>
    <definedName name="ca_12___4">'04'!$E$27</definedName>
    <definedName name="ca_12___5">'05'!$E$27</definedName>
    <definedName name="ca_12___6">'06'!$E$27</definedName>
    <definedName name="ca_12___7">'07'!$E$27</definedName>
    <definedName name="ca_12___8">'08'!$E$27</definedName>
    <definedName name="ca_12___9">'09'!$E$27</definedName>
    <definedName name="ca_12___10">'10'!$E$27</definedName>
    <definedName name="ca_12___11">'11'!$E$27</definedName>
    <definedName name="ca_12___12">'12'!$E$27</definedName>
    <definedName name="ca_12___13">'13'!$E$27</definedName>
    <definedName name="ca_12___14">'14'!$E$27</definedName>
    <definedName name="ca_12___15">'15'!$E$27</definedName>
    <definedName name="ca_12___16">'16'!$E$27</definedName>
    <definedName name="ca_12___17">'17'!$E$27</definedName>
    <definedName name="ca_12___18">'18'!$E$27</definedName>
    <definedName name="ca_12___19">'19'!$E$27</definedName>
    <definedName name="ca_12___20">'20'!$E$27</definedName>
    <definedName name="ca_12___21">'21'!$E$27</definedName>
    <definedName name="ca_12___22">'22'!$E$27</definedName>
    <definedName name="ca_12___23">'23'!$E$27</definedName>
    <definedName name="ca_12___24">'24'!$E$27</definedName>
    <definedName name="ca_12___25">'25'!$E$27</definedName>
    <definedName name="ca_12___26">'26'!$E$27</definedName>
    <definedName name="ca_12___27">'27'!$E$27</definedName>
    <definedName name="ca_12___28">'28'!$E$27</definedName>
    <definedName name="ca_12___29">'29'!$E$27</definedName>
    <definedName name="ca_12___30">'30'!$E$27</definedName>
    <definedName name="ca_12___31">'31'!$E$27</definedName>
    <definedName name="ca_12___0">'01'!$E$27</definedName>
    <definedName name="ca_21">'02'!$E$26</definedName>
    <definedName name="ca_21___3">'03'!$E$26</definedName>
    <definedName name="ca_21___4">'04'!$E$26</definedName>
    <definedName name="ca_21___5">'05'!$E$26</definedName>
    <definedName name="ca_21___6">'06'!$E$26</definedName>
    <definedName name="ca_21___7">'07'!$E$26</definedName>
    <definedName name="ca_21___8">'08'!$E$26</definedName>
    <definedName name="ca_21___9">'09'!$E$26</definedName>
    <definedName name="ca_21___10">'10'!$E$26</definedName>
    <definedName name="ca_21___11">'11'!$E$26</definedName>
    <definedName name="ca_21___12">'12'!$E$26</definedName>
    <definedName name="ca_21___13">'13'!$E$26</definedName>
    <definedName name="ca_21___14">'14'!$E$26</definedName>
    <definedName name="ca_21___15">'15'!$E$26</definedName>
    <definedName name="ca_21___16">'16'!$E$26</definedName>
    <definedName name="ca_21___17">'17'!$E$26</definedName>
    <definedName name="ca_21___18">'18'!$E$26</definedName>
    <definedName name="ca_21___19">'19'!$E$26</definedName>
    <definedName name="ca_21___20">'20'!$E$26</definedName>
    <definedName name="ca_21___21">'21'!$E$26</definedName>
    <definedName name="ca_21___22">'22'!$E$26</definedName>
    <definedName name="ca_21___23">'23'!$E$26</definedName>
    <definedName name="ca_21___24">'24'!$E$26</definedName>
    <definedName name="ca_21___25">'25'!$E$26</definedName>
    <definedName name="ca_21___26">'26'!$E$26</definedName>
    <definedName name="ca_21___27">'27'!$E$26</definedName>
    <definedName name="ca_21___28">'28'!$E$26</definedName>
    <definedName name="ca_21___29">'29'!$E$26</definedName>
    <definedName name="ca_21___30">'30'!$E$26</definedName>
    <definedName name="ca_21___31">'31'!$E$26</definedName>
    <definedName name="ca_21___0">'01'!$E$26</definedName>
    <definedName name="ca_6">'02'!$E$25</definedName>
    <definedName name="ca_6___3">'03'!$E$25</definedName>
    <definedName name="ca_6___4">'04'!$E$25</definedName>
    <definedName name="ca_6___5">'05'!$E$25</definedName>
    <definedName name="ca_6___6">'06'!$E$25</definedName>
    <definedName name="ca_6___7">'07'!$E$25</definedName>
    <definedName name="ca_6___8">'08'!$E$25</definedName>
    <definedName name="ca_6___9">'09'!$E$25</definedName>
    <definedName name="ca_6___10">'10'!$E$25</definedName>
    <definedName name="ca_6___11">'11'!$E$25</definedName>
    <definedName name="ca_6___12">'12'!$E$25</definedName>
    <definedName name="ca_6___13">'13'!$E$25</definedName>
    <definedName name="ca_6___14">'14'!$E$25</definedName>
    <definedName name="ca_6___15">'15'!$E$25</definedName>
    <definedName name="ca_6___16">'16'!$E$25</definedName>
    <definedName name="ca_6___17">'17'!$E$25</definedName>
    <definedName name="ca_6___18">'18'!$E$25</definedName>
    <definedName name="ca_6___19">'19'!$E$25</definedName>
    <definedName name="ca_6___20">'20'!$E$25</definedName>
    <definedName name="ca_6___21">'21'!$E$25</definedName>
    <definedName name="ca_6___22">'22'!$E$25</definedName>
    <definedName name="ca_6___23">'23'!$E$25</definedName>
    <definedName name="ca_6___24">'24'!$E$25</definedName>
    <definedName name="ca_6___25">'25'!$E$25</definedName>
    <definedName name="ca_6___26">'26'!$E$25</definedName>
    <definedName name="ca_6___27">'27'!$E$25</definedName>
    <definedName name="ca_6___28">'28'!$E$25</definedName>
    <definedName name="ca_6___29">'29'!$E$25</definedName>
    <definedName name="ca_6___30">'30'!$E$25</definedName>
    <definedName name="ca_6___31">'31'!$E$25</definedName>
    <definedName name="ca_6___0">'01'!$E$25</definedName>
    <definedName name="carte">'02'!$E$8</definedName>
    <definedName name="carte___3">'03'!$E$8</definedName>
    <definedName name="carte___4">'04'!$E$8</definedName>
    <definedName name="carte___5">'05'!$E$8</definedName>
    <definedName name="carte___6">'06'!$E$8</definedName>
    <definedName name="carte___7">'07'!$E$8</definedName>
    <definedName name="carte___8">'08'!$E$8</definedName>
    <definedName name="carte___9">'09'!$E$8</definedName>
    <definedName name="carte___10">'10'!$E$8</definedName>
    <definedName name="carte___11">'11'!$E$8</definedName>
    <definedName name="carte___12">'12'!$E$8</definedName>
    <definedName name="carte___13">'13'!$E$8</definedName>
    <definedName name="carte___14">'14'!$E$8</definedName>
    <definedName name="carte___15">'15'!$E$8</definedName>
    <definedName name="carte___16">'16'!$E$8</definedName>
    <definedName name="carte___17">'17'!$E$8</definedName>
    <definedName name="carte___18">'18'!$E$8</definedName>
    <definedName name="carte___19">'19'!$E$8</definedName>
    <definedName name="carte___20">'20'!$E$8</definedName>
    <definedName name="carte___21">'21'!$E$8</definedName>
    <definedName name="carte___22">'22'!$E$8</definedName>
    <definedName name="carte___23">'23'!$E$8</definedName>
    <definedName name="carte___24">'24'!$E$8</definedName>
    <definedName name="carte___25">'25'!$E$8</definedName>
    <definedName name="carte___26">'26'!$E$8</definedName>
    <definedName name="carte___27">'27'!$E$8</definedName>
    <definedName name="carte___28">'28'!$E$8</definedName>
    <definedName name="carte___29">'29'!$E$8</definedName>
    <definedName name="carte___30">'30'!$E$8</definedName>
    <definedName name="carte___31">'31'!$E$8</definedName>
    <definedName name="carte___0">'01'!$E$8</definedName>
    <definedName name="diff">'02'!$E$31</definedName>
    <definedName name="diff___3">'03'!$E$31</definedName>
    <definedName name="diff___4">'04'!$E$31</definedName>
    <definedName name="diff___5">'05'!$E$31</definedName>
    <definedName name="diff___6">'06'!$E$31</definedName>
    <definedName name="diff___7">'07'!$E$31</definedName>
    <definedName name="diff___8">'08'!$E$31</definedName>
    <definedName name="diff___9">'09'!$E$31</definedName>
    <definedName name="diff___10">'10'!$E$31</definedName>
    <definedName name="diff___11">'11'!$E$31</definedName>
    <definedName name="diff___12">'12'!$E$31</definedName>
    <definedName name="diff___13">'13'!$E$31</definedName>
    <definedName name="diff___14">'14'!$E$31</definedName>
    <definedName name="diff___15">'15'!$E$31</definedName>
    <definedName name="diff___16">'16'!$E$31</definedName>
    <definedName name="diff___17">'17'!$E$31</definedName>
    <definedName name="diff___18">'18'!$E$31</definedName>
    <definedName name="diff___19">'19'!$E$31</definedName>
    <definedName name="diff___20">'20'!$E$31</definedName>
    <definedName name="diff___21">'21'!$E$31</definedName>
    <definedName name="diff___22">'22'!$E$31</definedName>
    <definedName name="diff___23">'23'!$E$31</definedName>
    <definedName name="diff___24">'24'!$E$31</definedName>
    <definedName name="diff___25">'25'!$E$31</definedName>
    <definedName name="diff___26">'26'!$E$31</definedName>
    <definedName name="diff___27">'27'!$E$31</definedName>
    <definedName name="diff___28">'28'!$E$31</definedName>
    <definedName name="diff___29">'29'!$E$31</definedName>
    <definedName name="diff___30">'30'!$E$31</definedName>
    <definedName name="diff___31">'31'!$E$31</definedName>
    <definedName name="diff___0">'01'!$E$31</definedName>
    <definedName name="enveloppe">'02'!$J$25</definedName>
    <definedName name="enveloppe___3">'03'!$J$25</definedName>
    <definedName name="enveloppe___4">'04'!$J$25</definedName>
    <definedName name="enveloppe___5">'05'!$J$25</definedName>
    <definedName name="enveloppe___6">'06'!$J$25</definedName>
    <definedName name="enveloppe___7">'07'!$J$25</definedName>
    <definedName name="enveloppe___8">'08'!$J$25</definedName>
    <definedName name="enveloppe___9">'09'!$J$25</definedName>
    <definedName name="enveloppe___10">'10'!$J$25</definedName>
    <definedName name="enveloppe___11">'11'!$J$25</definedName>
    <definedName name="enveloppe___12">'12'!$J$25</definedName>
    <definedName name="enveloppe___13">'13'!$J$25</definedName>
    <definedName name="enveloppe___14">'14'!$J$25</definedName>
    <definedName name="enveloppe___15">'15'!$J$25</definedName>
    <definedName name="enveloppe___16">'16'!$J$25</definedName>
    <definedName name="enveloppe___17">'17'!$J$25</definedName>
    <definedName name="enveloppe___18">'18'!$J$25</definedName>
    <definedName name="enveloppe___19">'19'!$J$25</definedName>
    <definedName name="enveloppe___20">'20'!$J$25</definedName>
    <definedName name="enveloppe___21">'21'!$J$25</definedName>
    <definedName name="enveloppe___22">'22'!$J$25</definedName>
    <definedName name="enveloppe___23">'23'!$J$25</definedName>
    <definedName name="enveloppe___24">'24'!$J$25</definedName>
    <definedName name="enveloppe___25">'25'!$J$25</definedName>
    <definedName name="enveloppe___26">'26'!$J$25</definedName>
    <definedName name="enveloppe___27">'27'!$J$25</definedName>
    <definedName name="enveloppe___28">'28'!$J$25</definedName>
    <definedName name="enveloppe___29">'29'!$J$25</definedName>
    <definedName name="enveloppe___30">'30'!$J$25</definedName>
    <definedName name="enveloppe___31">'31'!$J$25</definedName>
    <definedName name="enveloppe___0">'01'!$J$25</definedName>
    <definedName name="lib1">'02'!$C$12</definedName>
    <definedName name="lib1___3">'03'!$C$12</definedName>
    <definedName name="lib1___4">'04'!$C$12</definedName>
    <definedName name="lib1___5">'05'!$C$12</definedName>
    <definedName name="lib1___6">'06'!$C$12</definedName>
    <definedName name="lib1___7">'07'!$C$12</definedName>
    <definedName name="lib1___8">'08'!$C$12</definedName>
    <definedName name="lib1___9">'09'!$C$12</definedName>
    <definedName name="lib1___10">'10'!$C$12</definedName>
    <definedName name="lib1___11">'11'!$C$12</definedName>
    <definedName name="lib1___12">'12'!$C$12</definedName>
    <definedName name="lib1___13">'13'!$C$12</definedName>
    <definedName name="lib1___14">'14'!$C$12</definedName>
    <definedName name="lib1___15">'15'!$C$12</definedName>
    <definedName name="lib1___16">'16'!$C$12</definedName>
    <definedName name="lib1___17">'17'!$C$12</definedName>
    <definedName name="lib1___18">'18'!$C$12</definedName>
    <definedName name="lib1___19">'19'!$C$12</definedName>
    <definedName name="lib1___20">'20'!$C$12</definedName>
    <definedName name="lib1___21">'21'!$C$12</definedName>
    <definedName name="lib1___22">'22'!$C$12</definedName>
    <definedName name="lib1___23">'23'!$C$12</definedName>
    <definedName name="lib1___24">'24'!$C$12</definedName>
    <definedName name="lib1___25">'25'!$C$12</definedName>
    <definedName name="lib1___26">'26'!$C$12</definedName>
    <definedName name="lib1___27">'27'!$C$12</definedName>
    <definedName name="lib1___28">'28'!$C$12</definedName>
    <definedName name="lib1___29">'29'!$C$12</definedName>
    <definedName name="lib1___30">'30'!$C$12</definedName>
    <definedName name="lib1___31">'31'!$C$12</definedName>
    <definedName name="lib1___0">'01'!$C$12</definedName>
    <definedName name="lib2">'02'!$C$13</definedName>
    <definedName name="lib2___3">'03'!$C$13</definedName>
    <definedName name="lib2___4">'04'!$C$13</definedName>
    <definedName name="lib2___5">'05'!$C$13</definedName>
    <definedName name="lib2___6">'06'!$C$13</definedName>
    <definedName name="lib2___7">'07'!$C$13</definedName>
    <definedName name="lib2___8">'08'!$C$13</definedName>
    <definedName name="lib2___9">'09'!$C$13</definedName>
    <definedName name="lib2___10">'10'!$C$13</definedName>
    <definedName name="lib2___11">'11'!$C$13</definedName>
    <definedName name="lib2___12">'12'!$C$13</definedName>
    <definedName name="lib2___13">'13'!$C$13</definedName>
    <definedName name="lib2___14">'14'!$C$13</definedName>
    <definedName name="lib2___15">'15'!$C$13</definedName>
    <definedName name="lib2___16">'16'!$C$13</definedName>
    <definedName name="lib2___17">'17'!$C$13</definedName>
    <definedName name="lib2___18">'18'!$C$13</definedName>
    <definedName name="lib2___19">'19'!$C$13</definedName>
    <definedName name="lib2___20">'20'!$C$13</definedName>
    <definedName name="lib2___21">'21'!$C$13</definedName>
    <definedName name="lib2___22">'22'!$C$13</definedName>
    <definedName name="lib2___23">'23'!$C$13</definedName>
    <definedName name="lib2___24">'24'!$C$13</definedName>
    <definedName name="lib2___25">'25'!$C$13</definedName>
    <definedName name="lib2___26">'26'!$C$13</definedName>
    <definedName name="lib2___27">'27'!$C$13</definedName>
    <definedName name="lib2___28">'28'!$C$13</definedName>
    <definedName name="lib2___29">'29'!$C$13</definedName>
    <definedName name="lib2___30">'30'!$C$13</definedName>
    <definedName name="lib2___31">'31'!$C$13</definedName>
    <definedName name="lib2___0">'01'!$C$13</definedName>
    <definedName name="lib3">'02'!$C$14</definedName>
    <definedName name="lib3___3">'03'!$C$14</definedName>
    <definedName name="lib3___4">'04'!$C$14</definedName>
    <definedName name="lib3___5">'05'!$C$14</definedName>
    <definedName name="lib3___6">'06'!$C$14</definedName>
    <definedName name="lib3___7">'07'!$C$14</definedName>
    <definedName name="lib3___8">'08'!$C$14</definedName>
    <definedName name="lib3___9">'09'!$C$14</definedName>
    <definedName name="lib3___10">'10'!$C$14</definedName>
    <definedName name="lib3___11">'11'!$C$14</definedName>
    <definedName name="lib3___12">'12'!$C$14</definedName>
    <definedName name="lib3___13">'13'!$C$14</definedName>
    <definedName name="lib3___14">'14'!$C$14</definedName>
    <definedName name="lib3___15">'15'!$C$14</definedName>
    <definedName name="lib3___16">'16'!$C$14</definedName>
    <definedName name="lib3___17">'17'!$C$14</definedName>
    <definedName name="lib3___18">'18'!$C$14</definedName>
    <definedName name="lib3___19">'19'!$C$14</definedName>
    <definedName name="lib3___20">'20'!$C$14</definedName>
    <definedName name="lib3___21">'21'!$C$14</definedName>
    <definedName name="lib3___22">'22'!$C$14</definedName>
    <definedName name="lib3___23">'23'!$C$14</definedName>
    <definedName name="lib3___24">'24'!$C$14</definedName>
    <definedName name="lib3___25">'25'!$C$14</definedName>
    <definedName name="lib3___26">'26'!$C$14</definedName>
    <definedName name="lib3___27">'27'!$C$14</definedName>
    <definedName name="lib3___28">'28'!$C$14</definedName>
    <definedName name="lib3___29">'29'!$C$14</definedName>
    <definedName name="lib3___30">'30'!$C$14</definedName>
    <definedName name="lib3___31">'31'!$C$14</definedName>
    <definedName name="lib3___0">'01'!$C$14</definedName>
    <definedName name="lib4">'02'!$C$15</definedName>
    <definedName name="lib4___3">'03'!$C$15</definedName>
    <definedName name="lib4___4">'04'!$C$15</definedName>
    <definedName name="lib4___5">'05'!$C$15</definedName>
    <definedName name="lib4___6">'06'!$C$15</definedName>
    <definedName name="lib4___7">'07'!$C$15</definedName>
    <definedName name="lib4___8">'08'!$C$15</definedName>
    <definedName name="lib4___9">'09'!$C$15</definedName>
    <definedName name="lib4___10">'10'!$C$15</definedName>
    <definedName name="lib4___11">'11'!$C$15</definedName>
    <definedName name="lib4___12">'12'!$C$15</definedName>
    <definedName name="lib4___13">'13'!$C$15</definedName>
    <definedName name="lib4___14">'14'!$C$15</definedName>
    <definedName name="lib4___15">'15'!$C$15</definedName>
    <definedName name="lib4___16">'16'!$C$15</definedName>
    <definedName name="lib4___17">'17'!$C$15</definedName>
    <definedName name="lib4___18">'18'!$C$15</definedName>
    <definedName name="lib4___19">'19'!$C$15</definedName>
    <definedName name="lib4___20">'20'!$C$15</definedName>
    <definedName name="lib4___21">'21'!$C$15</definedName>
    <definedName name="lib4___22">'22'!$C$15</definedName>
    <definedName name="lib4___23">'23'!$C$15</definedName>
    <definedName name="lib4___24">'24'!$C$15</definedName>
    <definedName name="lib4___25">'25'!$C$15</definedName>
    <definedName name="lib4___26">'26'!$C$15</definedName>
    <definedName name="lib4___27">'27'!$C$15</definedName>
    <definedName name="lib4___28">'28'!$C$15</definedName>
    <definedName name="lib4___29">'29'!$C$15</definedName>
    <definedName name="lib4___30">'30'!$C$15</definedName>
    <definedName name="lib4___31">'31'!$C$15</definedName>
    <definedName name="lib4___0">'01'!$C$15</definedName>
    <definedName name="proton">'02'!$E$9</definedName>
    <definedName name="proton___3">'03'!$E$9</definedName>
    <definedName name="proton___4">'04'!$E$9</definedName>
    <definedName name="proton___5">'05'!$E$9</definedName>
    <definedName name="proton___6">'06'!$E$9</definedName>
    <definedName name="proton___7">'07'!$E$9</definedName>
    <definedName name="proton___8">'08'!$E$9</definedName>
    <definedName name="proton___9">'09'!$E$9</definedName>
    <definedName name="proton___10">'10'!$E$9</definedName>
    <definedName name="proton___11">'11'!$E$9</definedName>
    <definedName name="proton___12">'12'!$E$9</definedName>
    <definedName name="proton___13">'13'!$E$9</definedName>
    <definedName name="proton___14">'14'!$E$9</definedName>
    <definedName name="proton___15">'15'!$E$9</definedName>
    <definedName name="proton___16">'16'!$E$9</definedName>
    <definedName name="proton___17">'17'!$E$9</definedName>
    <definedName name="proton___18">'18'!$E$9</definedName>
    <definedName name="proton___19">'19'!$E$9</definedName>
    <definedName name="proton___20">'20'!$E$9</definedName>
    <definedName name="proton___21">'21'!$E$9</definedName>
    <definedName name="proton___22">'22'!$E$9</definedName>
    <definedName name="proton___23">'23'!$E$9</definedName>
    <definedName name="proton___24">'24'!$E$9</definedName>
    <definedName name="proton___25">'25'!$E$9</definedName>
    <definedName name="proton___26">'26'!$E$9</definedName>
    <definedName name="proton___27">'27'!$E$9</definedName>
    <definedName name="proton___28">'28'!$E$9</definedName>
    <definedName name="proton___29">'29'!$E$9</definedName>
    <definedName name="proton___30">'30'!$E$9</definedName>
    <definedName name="proton___31">'31'!$E$9</definedName>
    <definedName name="proton___0">'01'!$E$9</definedName>
    <definedName name="retrait1">'02'!$E$12</definedName>
    <definedName name="retrait1___3">'03'!$E$12</definedName>
    <definedName name="retrait1___4">'04'!$E$12</definedName>
    <definedName name="retrait1___5">'05'!$E$12</definedName>
    <definedName name="retrait1___6">'06'!$E$12</definedName>
    <definedName name="retrait1___7">'07'!$E$12</definedName>
    <definedName name="retrait1___8">'08'!$E$12</definedName>
    <definedName name="retrait1___9">'09'!$E$12</definedName>
    <definedName name="retrait1___10">'10'!$E$12</definedName>
    <definedName name="retrait1___11">'11'!$E$12</definedName>
    <definedName name="retrait1___12">'12'!$E$12</definedName>
    <definedName name="retrait1___13">'13'!$E$12</definedName>
    <definedName name="retrait1___14">'14'!$E$12</definedName>
    <definedName name="retrait1___15">'15'!$E$12</definedName>
    <definedName name="retrait1___16">'16'!$E$12</definedName>
    <definedName name="retrait1___17">'17'!$E$12</definedName>
    <definedName name="retrait1___18">'18'!$E$12</definedName>
    <definedName name="retrait1___19">'19'!$E$12</definedName>
    <definedName name="retrait1___20">'20'!$E$12</definedName>
    <definedName name="retrait1___21">'21'!$E$12</definedName>
    <definedName name="retrait1___22">'22'!$E$12</definedName>
    <definedName name="retrait1___23">'23'!$E$12</definedName>
    <definedName name="retrait1___24">'24'!$E$12</definedName>
    <definedName name="retrait1___25">'25'!$E$12</definedName>
    <definedName name="retrait1___26">'26'!$E$12</definedName>
    <definedName name="retrait1___27">'27'!$E$12</definedName>
    <definedName name="retrait1___28">'28'!$E$12</definedName>
    <definedName name="retrait1___29">'29'!$E$12</definedName>
    <definedName name="retrait1___30">'30'!$E$12</definedName>
    <definedName name="retrait1___31">'31'!$E$12</definedName>
    <definedName name="retrait1___0">'01'!$E$12</definedName>
    <definedName name="retrait2">'02'!$E$13</definedName>
    <definedName name="retrait2___3">'03'!$E$13</definedName>
    <definedName name="retrait2___4">'04'!$E$13</definedName>
    <definedName name="retrait2___5">'05'!$E$13</definedName>
    <definedName name="retrait2___6">'06'!$E$13</definedName>
    <definedName name="retrait2___7">'07'!$E$13</definedName>
    <definedName name="retrait2___8">'08'!$E$13</definedName>
    <definedName name="retrait2___9">'09'!$E$13</definedName>
    <definedName name="retrait2___10">'10'!$E$13</definedName>
    <definedName name="retrait2___11">'11'!$E$13</definedName>
    <definedName name="retrait2___12">'12'!$E$13</definedName>
    <definedName name="retrait2___13">'13'!$E$13</definedName>
    <definedName name="retrait2___14">'14'!$E$13</definedName>
    <definedName name="retrait2___15">'15'!$E$13</definedName>
    <definedName name="retrait2___16">'16'!$E$13</definedName>
    <definedName name="retrait2___17">'17'!$E$13</definedName>
    <definedName name="retrait2___18">'18'!$E$13</definedName>
    <definedName name="retrait2___19">'19'!$E$13</definedName>
    <definedName name="retrait2___20">'20'!$E$13</definedName>
    <definedName name="retrait2___21">'21'!$E$13</definedName>
    <definedName name="retrait2___22">'22'!$E$13</definedName>
    <definedName name="retrait2___23">'23'!$E$13</definedName>
    <definedName name="retrait2___24">'24'!$E$13</definedName>
    <definedName name="retrait2___25">'25'!$E$13</definedName>
    <definedName name="retrait2___26">'26'!$E$13</definedName>
    <definedName name="retrait2___27">'27'!$E$13</definedName>
    <definedName name="retrait2___28">'28'!$E$13</definedName>
    <definedName name="retrait2___29">'29'!$E$13</definedName>
    <definedName name="retrait2___30">'30'!$E$13</definedName>
    <definedName name="retrait2___31">'31'!$E$13</definedName>
    <definedName name="retrait2___0">'01'!$E$13</definedName>
    <definedName name="retrait3">'02'!$E$14</definedName>
    <definedName name="retrait3___3">'03'!$E$14</definedName>
    <definedName name="retrait3___4">'04'!$E$14</definedName>
    <definedName name="retrait3___5">'05'!$E$14</definedName>
    <definedName name="retrait3___6">'06'!$E$14</definedName>
    <definedName name="retrait3___7">'07'!$E$14</definedName>
    <definedName name="retrait3___8">'08'!$E$14</definedName>
    <definedName name="retrait3___9">'09'!$E$14</definedName>
    <definedName name="retrait3___10">'10'!$E$14</definedName>
    <definedName name="retrait3___11">'11'!$E$14</definedName>
    <definedName name="retrait3___12">'12'!$E$14</definedName>
    <definedName name="retrait3___13">'13'!$E$14</definedName>
    <definedName name="retrait3___14">'14'!$E$14</definedName>
    <definedName name="retrait3___15">'15'!$E$14</definedName>
    <definedName name="retrait3___16">'16'!$E$14</definedName>
    <definedName name="retrait3___17">'17'!$E$14</definedName>
    <definedName name="retrait3___18">'18'!$E$14</definedName>
    <definedName name="retrait3___19">'19'!$E$14</definedName>
    <definedName name="retrait3___20">'20'!$E$14</definedName>
    <definedName name="retrait3___21">'21'!$E$14</definedName>
    <definedName name="retrait3___22">'22'!$E$14</definedName>
    <definedName name="retrait3___23">'23'!$E$14</definedName>
    <definedName name="retrait3___24">'24'!$E$14</definedName>
    <definedName name="retrait3___25">'25'!$E$14</definedName>
    <definedName name="retrait3___26">'26'!$E$14</definedName>
    <definedName name="retrait3___27">'27'!$E$14</definedName>
    <definedName name="retrait3___28">'28'!$E$14</definedName>
    <definedName name="retrait3___29">'29'!$E$14</definedName>
    <definedName name="retrait3___30">'30'!$E$14</definedName>
    <definedName name="retrait3___31">'31'!$E$14</definedName>
    <definedName name="retrait3___0">'01'!$E$14</definedName>
    <definedName name="retrait4">'02'!$E$15</definedName>
    <definedName name="retrait4___3">'03'!$E$15</definedName>
    <definedName name="retrait4___4">'04'!$E$15</definedName>
    <definedName name="retrait4___5">'05'!$E$15</definedName>
    <definedName name="retrait4___6">'06'!$E$15</definedName>
    <definedName name="retrait4___7">'07'!$E$15</definedName>
    <definedName name="retrait4___8">'08'!$E$15</definedName>
    <definedName name="retrait4___9">'09'!$E$15</definedName>
    <definedName name="retrait4___10">'10'!$E$15</definedName>
    <definedName name="retrait4___11">'11'!$E$15</definedName>
    <definedName name="retrait4___12">'12'!$E$15</definedName>
    <definedName name="retrait4___13">'13'!$E$15</definedName>
    <definedName name="retrait4___14">'14'!$E$15</definedName>
    <definedName name="retrait4___15">'15'!$E$15</definedName>
    <definedName name="retrait4___16">'16'!$E$15</definedName>
    <definedName name="retrait4___17">'17'!$E$15</definedName>
    <definedName name="retrait4___18">'18'!$E$15</definedName>
    <definedName name="retrait4___19">'19'!$E$15</definedName>
    <definedName name="retrait4___20">'20'!$E$15</definedName>
    <definedName name="retrait4___21">'21'!$E$15</definedName>
    <definedName name="retrait4___22">'22'!$E$15</definedName>
    <definedName name="retrait4___23">'23'!$E$15</definedName>
    <definedName name="retrait4___24">'24'!$E$15</definedName>
    <definedName name="retrait4___25">'25'!$E$15</definedName>
    <definedName name="retrait4___26">'26'!$E$15</definedName>
    <definedName name="retrait4___27">'27'!$E$15</definedName>
    <definedName name="retrait4___28">'28'!$E$15</definedName>
    <definedName name="retrait4___29">'29'!$E$15</definedName>
    <definedName name="retrait4___30">'30'!$E$15</definedName>
    <definedName name="retrait4___31">'31'!$E$15</definedName>
    <definedName name="retrait4___0">'01'!$E$15</definedName>
    <definedName name="ristournes">'02'!$E$10</definedName>
    <definedName name="ristournes___3">'03'!$E$10</definedName>
    <definedName name="ristournes___4">'04'!$E$10</definedName>
    <definedName name="ristournes___5">'05'!$E$10</definedName>
    <definedName name="ristournes___6">'06'!$E$10</definedName>
    <definedName name="ristournes___7">'07'!$E$10</definedName>
    <definedName name="ristournes___8">'08'!$E$10</definedName>
    <definedName name="ristournes___9">'09'!$E$10</definedName>
    <definedName name="ristournes___10">'10'!$E$10</definedName>
    <definedName name="ristournes___11">'11'!$E$10</definedName>
    <definedName name="ristournes___12">'12'!$E$10</definedName>
    <definedName name="ristournes___13">'13'!$E$10</definedName>
    <definedName name="ristournes___14">'14'!$E$10</definedName>
    <definedName name="ristournes___15">'15'!$E$10</definedName>
    <definedName name="ristournes___16">'16'!$E$10</definedName>
    <definedName name="ristournes___17">'17'!$E$10</definedName>
    <definedName name="ristournes___18">'18'!$E$10</definedName>
    <definedName name="ristournes___19">'19'!$E$10</definedName>
    <definedName name="ristournes___20">'20'!$E$10</definedName>
    <definedName name="ristournes___21">'21'!$E$10</definedName>
    <definedName name="ristournes___22">'22'!$E$10</definedName>
    <definedName name="ristournes___23">'23'!$E$10</definedName>
    <definedName name="ristournes___24">'24'!$E$10</definedName>
    <definedName name="ristournes___25">'25'!$E$10</definedName>
    <definedName name="ristournes___26">'26'!$E$10</definedName>
    <definedName name="ristournes___27">'27'!$E$10</definedName>
    <definedName name="ristournes___28">'28'!$E$10</definedName>
    <definedName name="ristournes___29">'29'!$E$10</definedName>
    <definedName name="ristournes___30">'30'!$E$10</definedName>
    <definedName name="ristournes___31">'31'!$E$10</definedName>
    <definedName name="ristournes___0">'01'!$E$10</definedName>
    <definedName name="impayés1___0">'01'!$E$12</definedName>
  </definedNames>
  <calcPr fullCalcOnLoad="1"/>
</workbook>
</file>

<file path=xl/sharedStrings.xml><?xml version="1.0" encoding="utf-8"?>
<sst xmlns="http://schemas.openxmlformats.org/spreadsheetml/2006/main" count="1056" uniqueCount="46">
  <si>
    <t>Caisse du</t>
  </si>
  <si>
    <t>Pharmacien</t>
  </si>
  <si>
    <t>Assistante</t>
  </si>
  <si>
    <t>&amp;</t>
  </si>
  <si>
    <t>Retraits</t>
  </si>
  <si>
    <t>Billets</t>
  </si>
  <si>
    <t>Pièces</t>
  </si>
  <si>
    <t>Banksys</t>
  </si>
  <si>
    <t>Bons</t>
  </si>
  <si>
    <t>Carte</t>
  </si>
  <si>
    <t>Chèques</t>
  </si>
  <si>
    <t>Proton</t>
  </si>
  <si>
    <t>Ristournes</t>
  </si>
  <si>
    <t>Facturé Acquité</t>
  </si>
  <si>
    <t>-</t>
  </si>
  <si>
    <t>Impayés</t>
  </si>
  <si>
    <t>Règlement</t>
  </si>
  <si>
    <t>Résultat</t>
  </si>
  <si>
    <t>Enveloppe</t>
  </si>
  <si>
    <t>Nouveau fond de caisse</t>
  </si>
  <si>
    <t>Fond caisse</t>
  </si>
  <si>
    <t>Calculé</t>
  </si>
  <si>
    <t>C.A.   6%</t>
  </si>
  <si>
    <t>Réel</t>
  </si>
  <si>
    <t>C.A. 21%</t>
  </si>
  <si>
    <t>C.A. 12%</t>
  </si>
  <si>
    <t>C.A.</t>
  </si>
  <si>
    <t>≠</t>
  </si>
  <si>
    <t>Caisse</t>
  </si>
  <si>
    <t>Total</t>
  </si>
  <si>
    <t>Env</t>
  </si>
  <si>
    <t>Date</t>
  </si>
  <si>
    <t>6%</t>
  </si>
  <si>
    <t>12%</t>
  </si>
  <si>
    <t>21%</t>
  </si>
  <si>
    <t>Banque</t>
  </si>
  <si>
    <t>Montant</t>
  </si>
  <si>
    <t>Libellé</t>
  </si>
  <si>
    <t xml:space="preserve">≠ </t>
  </si>
  <si>
    <t>tvac</t>
  </si>
  <si>
    <t>bef</t>
  </si>
  <si>
    <t>Nb jours</t>
  </si>
  <si>
    <t>CA moyen</t>
  </si>
  <si>
    <t>Nb clients</t>
  </si>
  <si>
    <t>Panier moyen</t>
  </si>
  <si>
    <t>Nb clients moyen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</si>
</sst>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#,##0.00"/>
    <numFmt numFmtId="168" formatCode="DD/MM/YY"/>
  </numFmts>
  <fonts count="14">
    <font>
      <sz val="9"/>
      <name val="Geneva"/>
      <family val="0"/>
    </font>
    <font>
      <sz val="10"/>
      <name val="Arial"/>
      <family val="0"/>
    </font>
    <font>
      <b/>
      <sz val="9"/>
      <name val="Geneva"/>
      <family val="0"/>
    </font>
    <font>
      <b/>
      <sz val="10"/>
      <name val="Verdana"/>
      <family val="0"/>
    </font>
    <font>
      <b/>
      <sz val="12"/>
      <name val="Geneva"/>
      <family val="0"/>
    </font>
    <font>
      <sz val="10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b/>
      <sz val="9"/>
      <name val="Verdana"/>
      <family val="0"/>
    </font>
    <font>
      <sz val="10"/>
      <name val="Verdana"/>
      <family val="0"/>
    </font>
    <font>
      <b/>
      <sz val="14"/>
      <name val="Verdana"/>
      <family val="0"/>
    </font>
    <font>
      <sz val="9"/>
      <name val="Times New Roman"/>
      <family val="0"/>
    </font>
    <font>
      <b/>
      <sz val="9"/>
      <name val="Times New Roman"/>
      <family val="0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2">
    <xf numFmtId="164" fontId="0" fillId="0" borderId="0" xfId="0" applyAlignment="1">
      <alignment/>
    </xf>
    <xf numFmtId="165" fontId="2" fillId="2" borderId="0" xfId="0" applyNumberFormat="1" applyFont="1" applyFill="1" applyBorder="1" applyAlignment="1" applyProtection="1">
      <alignment horizontal="right"/>
      <protection/>
    </xf>
    <xf numFmtId="165" fontId="0" fillId="2" borderId="0" xfId="0" applyNumberFormat="1" applyFont="1" applyFill="1" applyBorder="1" applyAlignment="1" applyProtection="1">
      <alignment horizontal="right"/>
      <protection/>
    </xf>
    <xf numFmtId="164" fontId="3" fillId="0" borderId="0" xfId="0" applyFont="1" applyBorder="1" applyAlignment="1" applyProtection="1">
      <alignment/>
      <protection/>
    </xf>
    <xf numFmtId="164" fontId="4" fillId="2" borderId="0" xfId="0" applyFont="1" applyFill="1" applyBorder="1" applyAlignment="1" applyProtection="1">
      <alignment horizontal="left"/>
      <protection/>
    </xf>
    <xf numFmtId="164" fontId="4" fillId="2" borderId="0" xfId="0" applyFont="1" applyFill="1" applyBorder="1" applyAlignment="1" applyProtection="1">
      <alignment horizontal="center"/>
      <protection/>
    </xf>
    <xf numFmtId="164" fontId="0" fillId="0" borderId="1" xfId="0" applyNumberFormat="1" applyFont="1" applyFill="1" applyBorder="1" applyAlignment="1" applyProtection="1">
      <alignment horizontal="center"/>
      <protection locked="0"/>
    </xf>
    <xf numFmtId="164" fontId="5" fillId="2" borderId="0" xfId="0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ont="1" applyFill="1" applyBorder="1" applyAlignment="1" applyProtection="1">
      <alignment horizontal="center"/>
      <protection/>
    </xf>
    <xf numFmtId="165" fontId="2" fillId="2" borderId="2" xfId="0" applyNumberFormat="1" applyFont="1" applyFill="1" applyBorder="1" applyAlignment="1" applyProtection="1">
      <alignment horizontal="right"/>
      <protection/>
    </xf>
    <xf numFmtId="165" fontId="0" fillId="2" borderId="3" xfId="0" applyNumberFormat="1" applyFont="1" applyFill="1" applyBorder="1" applyAlignment="1" applyProtection="1">
      <alignment horizontal="right"/>
      <protection/>
    </xf>
    <xf numFmtId="165" fontId="2" fillId="2" borderId="3" xfId="0" applyNumberFormat="1" applyFont="1" applyFill="1" applyBorder="1" applyAlignment="1" applyProtection="1">
      <alignment horizontal="right"/>
      <protection/>
    </xf>
    <xf numFmtId="165" fontId="2" fillId="2" borderId="4" xfId="0" applyNumberFormat="1" applyFont="1" applyFill="1" applyBorder="1" applyAlignment="1" applyProtection="1">
      <alignment horizontal="right"/>
      <protection/>
    </xf>
    <xf numFmtId="165" fontId="0" fillId="2" borderId="2" xfId="0" applyNumberFormat="1" applyFont="1" applyFill="1" applyBorder="1" applyAlignment="1" applyProtection="1">
      <alignment horizontal="right"/>
      <protection/>
    </xf>
    <xf numFmtId="165" fontId="2" fillId="2" borderId="5" xfId="0" applyNumberFormat="1" applyFont="1" applyFill="1" applyBorder="1" applyAlignment="1" applyProtection="1">
      <alignment horizontal="right"/>
      <protection/>
    </xf>
    <xf numFmtId="165" fontId="3" fillId="2" borderId="0" xfId="0" applyNumberFormat="1" applyFont="1" applyFill="1" applyBorder="1" applyAlignment="1" applyProtection="1">
      <alignment horizontal="center"/>
      <protection/>
    </xf>
    <xf numFmtId="165" fontId="2" fillId="2" borderId="6" xfId="0" applyNumberFormat="1" applyFont="1" applyFill="1" applyBorder="1" applyAlignment="1" applyProtection="1">
      <alignment horizontal="right"/>
      <protection/>
    </xf>
    <xf numFmtId="165" fontId="0" fillId="2" borderId="5" xfId="0" applyNumberFormat="1" applyFont="1" applyFill="1" applyBorder="1" applyAlignment="1" applyProtection="1">
      <alignment horizontal="right"/>
      <protection/>
    </xf>
    <xf numFmtId="167" fontId="0" fillId="2" borderId="5" xfId="0" applyNumberFormat="1" applyFont="1" applyFill="1" applyBorder="1" applyAlignment="1" applyProtection="1">
      <alignment horizontal="right"/>
      <protection/>
    </xf>
    <xf numFmtId="164" fontId="0" fillId="0" borderId="0" xfId="0" applyFont="1" applyBorder="1" applyAlignment="1" applyProtection="1">
      <alignment/>
      <protection/>
    </xf>
    <xf numFmtId="167" fontId="0" fillId="0" borderId="1" xfId="0" applyNumberFormat="1" applyFont="1" applyFill="1" applyBorder="1" applyAlignment="1" applyProtection="1">
      <alignment horizontal="right"/>
      <protection locked="0"/>
    </xf>
    <xf numFmtId="167" fontId="2" fillId="0" borderId="1" xfId="0" applyNumberFormat="1" applyFont="1" applyFill="1" applyBorder="1" applyAlignment="1" applyProtection="1">
      <alignment horizontal="right"/>
      <protection locked="0"/>
    </xf>
    <xf numFmtId="165" fontId="0" fillId="2" borderId="6" xfId="0" applyNumberFormat="1" applyFont="1" applyFill="1" applyBorder="1" applyAlignment="1" applyProtection="1">
      <alignment horizontal="center"/>
      <protection/>
    </xf>
    <xf numFmtId="165" fontId="6" fillId="2" borderId="0" xfId="0" applyNumberFormat="1" applyFont="1" applyFill="1" applyBorder="1" applyAlignment="1" applyProtection="1">
      <alignment horizontal="right"/>
      <protection/>
    </xf>
    <xf numFmtId="165" fontId="6" fillId="2" borderId="0" xfId="0" applyNumberFormat="1" applyFont="1" applyFill="1" applyBorder="1" applyAlignment="1" applyProtection="1">
      <alignment horizontal="center"/>
      <protection/>
    </xf>
    <xf numFmtId="165" fontId="7" fillId="2" borderId="0" xfId="0" applyNumberFormat="1" applyFont="1" applyFill="1" applyBorder="1" applyAlignment="1" applyProtection="1">
      <alignment horizontal="center"/>
      <protection/>
    </xf>
    <xf numFmtId="167" fontId="6" fillId="0" borderId="1" xfId="0" applyNumberFormat="1" applyFont="1" applyFill="1" applyBorder="1" applyAlignment="1" applyProtection="1">
      <alignment horizontal="right"/>
      <protection locked="0"/>
    </xf>
    <xf numFmtId="165" fontId="0" fillId="0" borderId="1" xfId="0" applyNumberFormat="1" applyFont="1" applyFill="1" applyBorder="1" applyAlignment="1" applyProtection="1">
      <alignment horizontal="right"/>
      <protection locked="0"/>
    </xf>
    <xf numFmtId="167" fontId="5" fillId="3" borderId="7" xfId="0" applyNumberFormat="1" applyFont="1" applyFill="1" applyBorder="1" applyAlignment="1" applyProtection="1">
      <alignment horizontal="right"/>
      <protection/>
    </xf>
    <xf numFmtId="165" fontId="2" fillId="2" borderId="8" xfId="0" applyNumberFormat="1" applyFont="1" applyFill="1" applyBorder="1" applyAlignment="1" applyProtection="1">
      <alignment horizontal="right"/>
      <protection/>
    </xf>
    <xf numFmtId="165" fontId="0" fillId="2" borderId="9" xfId="0" applyNumberFormat="1" applyFont="1" applyFill="1" applyBorder="1" applyAlignment="1" applyProtection="1">
      <alignment horizontal="right"/>
      <protection/>
    </xf>
    <xf numFmtId="165" fontId="2" fillId="2" borderId="9" xfId="0" applyNumberFormat="1" applyFont="1" applyFill="1" applyBorder="1" applyAlignment="1" applyProtection="1">
      <alignment horizontal="center"/>
      <protection/>
    </xf>
    <xf numFmtId="165" fontId="2" fillId="2" borderId="10" xfId="0" applyNumberFormat="1" applyFont="1" applyFill="1" applyBorder="1" applyAlignment="1" applyProtection="1">
      <alignment horizontal="right"/>
      <protection/>
    </xf>
    <xf numFmtId="165" fontId="0" fillId="2" borderId="8" xfId="0" applyNumberFormat="1" applyFont="1" applyFill="1" applyBorder="1" applyAlignment="1" applyProtection="1">
      <alignment horizontal="right"/>
      <protection/>
    </xf>
    <xf numFmtId="165" fontId="0" fillId="2" borderId="9" xfId="0" applyNumberFormat="1" applyFont="1" applyFill="1" applyBorder="1" applyAlignment="1" applyProtection="1">
      <alignment horizontal="center"/>
      <protection/>
    </xf>
    <xf numFmtId="165" fontId="2" fillId="2" borderId="9" xfId="0" applyNumberFormat="1" applyFont="1" applyFill="1" applyBorder="1" applyAlignment="1" applyProtection="1">
      <alignment horizontal="right"/>
      <protection/>
    </xf>
    <xf numFmtId="164" fontId="8" fillId="2" borderId="8" xfId="0" applyFont="1" applyFill="1" applyBorder="1" applyAlignment="1" applyProtection="1">
      <alignment horizontal="right"/>
      <protection/>
    </xf>
    <xf numFmtId="164" fontId="8" fillId="2" borderId="9" xfId="0" applyFont="1" applyFill="1" applyBorder="1" applyAlignment="1" applyProtection="1">
      <alignment horizontal="right"/>
      <protection/>
    </xf>
    <xf numFmtId="165" fontId="9" fillId="2" borderId="0" xfId="0" applyNumberFormat="1" applyFont="1" applyFill="1" applyBorder="1" applyAlignment="1" applyProtection="1">
      <alignment horizontal="center"/>
      <protection/>
    </xf>
    <xf numFmtId="165" fontId="9" fillId="2" borderId="0" xfId="0" applyNumberFormat="1" applyFont="1" applyFill="1" applyBorder="1" applyAlignment="1" applyProtection="1">
      <alignment horizontal="right"/>
      <protection/>
    </xf>
    <xf numFmtId="165" fontId="3" fillId="2" borderId="0" xfId="0" applyNumberFormat="1" applyFont="1" applyFill="1" applyBorder="1" applyAlignment="1" applyProtection="1">
      <alignment horizontal="right"/>
      <protection/>
    </xf>
    <xf numFmtId="167" fontId="0" fillId="4" borderId="7" xfId="0" applyNumberFormat="1" applyFont="1" applyFill="1" applyBorder="1" applyAlignment="1" applyProtection="1">
      <alignment horizontal="right"/>
      <protection locked="0"/>
    </xf>
    <xf numFmtId="167" fontId="2" fillId="5" borderId="7" xfId="0" applyNumberFormat="1" applyFont="1" applyFill="1" applyBorder="1" applyAlignment="1" applyProtection="1">
      <alignment horizontal="right"/>
      <protection/>
    </xf>
    <xf numFmtId="165" fontId="10" fillId="2" borderId="0" xfId="0" applyNumberFormat="1" applyFont="1" applyFill="1" applyBorder="1" applyAlignment="1" applyProtection="1">
      <alignment horizontal="right"/>
      <protection/>
    </xf>
    <xf numFmtId="168" fontId="10" fillId="2" borderId="1" xfId="0" applyNumberFormat="1" applyFont="1" applyFill="1" applyBorder="1" applyAlignment="1" applyProtection="1">
      <alignment horizontal="center"/>
      <protection/>
    </xf>
    <xf numFmtId="167" fontId="2" fillId="2" borderId="0" xfId="0" applyNumberFormat="1" applyFont="1" applyFill="1" applyBorder="1" applyAlignment="1" applyProtection="1">
      <alignment horizontal="right"/>
      <protection/>
    </xf>
    <xf numFmtId="167" fontId="10" fillId="3" borderId="7" xfId="0" applyNumberFormat="1" applyFont="1" applyFill="1" applyBorder="1" applyAlignment="1" applyProtection="1">
      <alignment horizontal="right"/>
      <protection/>
    </xf>
    <xf numFmtId="167" fontId="5" fillId="6" borderId="7" xfId="0" applyNumberFormat="1" applyFont="1" applyFill="1" applyBorder="1" applyAlignment="1" applyProtection="1">
      <alignment horizontal="right"/>
      <protection/>
    </xf>
    <xf numFmtId="165" fontId="3" fillId="2" borderId="5" xfId="0" applyNumberFormat="1" applyFont="1" applyFill="1" applyBorder="1" applyAlignment="1" applyProtection="1">
      <alignment horizontal="right"/>
      <protection/>
    </xf>
    <xf numFmtId="167" fontId="5" fillId="7" borderId="7" xfId="0" applyNumberFormat="1" applyFont="1" applyFill="1" applyBorder="1" applyAlignment="1" applyProtection="1">
      <alignment horizontal="right"/>
      <protection/>
    </xf>
    <xf numFmtId="164" fontId="11" fillId="0" borderId="0" xfId="0" applyFont="1" applyBorder="1" applyAlignment="1" applyProtection="1">
      <alignment horizontal="center"/>
      <protection/>
    </xf>
    <xf numFmtId="164" fontId="10" fillId="0" borderId="0" xfId="0" applyFont="1" applyBorder="1" applyAlignment="1" applyProtection="1">
      <alignment horizontal="right"/>
      <protection/>
    </xf>
    <xf numFmtId="168" fontId="0" fillId="0" borderId="1" xfId="0" applyNumberFormat="1" applyFont="1" applyFill="1" applyBorder="1" applyAlignment="1" applyProtection="1">
      <alignment horizontal="center"/>
      <protection locked="0"/>
    </xf>
    <xf numFmtId="167" fontId="0" fillId="3" borderId="7" xfId="0" applyNumberFormat="1" applyFont="1" applyFill="1" applyBorder="1" applyAlignment="1" applyProtection="1">
      <alignment horizontal="right"/>
      <protection/>
    </xf>
    <xf numFmtId="164" fontId="2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5" fontId="0" fillId="0" borderId="11" xfId="0" applyNumberFormat="1" applyFont="1" applyBorder="1" applyAlignment="1" applyProtection="1">
      <alignment horizontal="center"/>
      <protection/>
    </xf>
    <xf numFmtId="165" fontId="0" fillId="0" borderId="12" xfId="0" applyNumberFormat="1" applyFont="1" applyBorder="1" applyAlignment="1" applyProtection="1">
      <alignment horizontal="center"/>
      <protection/>
    </xf>
    <xf numFmtId="165" fontId="0" fillId="0" borderId="13" xfId="0" applyNumberFormat="1" applyFont="1" applyBorder="1" applyAlignment="1" applyProtection="1">
      <alignment horizontal="center"/>
      <protection/>
    </xf>
    <xf numFmtId="165" fontId="0" fillId="3" borderId="11" xfId="0" applyNumberFormat="1" applyFont="1" applyFill="1" applyBorder="1" applyAlignment="1" applyProtection="1">
      <alignment horizontal="center"/>
      <protection/>
    </xf>
    <xf numFmtId="165" fontId="0" fillId="3" borderId="12" xfId="0" applyNumberFormat="1" applyFont="1" applyFill="1" applyBorder="1" applyAlignment="1" applyProtection="1">
      <alignment horizontal="center"/>
      <protection/>
    </xf>
    <xf numFmtId="165" fontId="0" fillId="3" borderId="13" xfId="0" applyNumberFormat="1" applyFont="1" applyFill="1" applyBorder="1" applyAlignment="1" applyProtection="1">
      <alignment horizontal="center"/>
      <protection/>
    </xf>
    <xf numFmtId="165" fontId="2" fillId="8" borderId="14" xfId="0" applyNumberFormat="1" applyFont="1" applyFill="1" applyBorder="1" applyAlignment="1" applyProtection="1">
      <alignment horizontal="center"/>
      <protection/>
    </xf>
    <xf numFmtId="165" fontId="0" fillId="6" borderId="14" xfId="0" applyNumberFormat="1" applyFont="1" applyFill="1" applyBorder="1" applyAlignment="1" applyProtection="1">
      <alignment horizontal="center"/>
      <protection/>
    </xf>
    <xf numFmtId="165" fontId="0" fillId="7" borderId="14" xfId="0" applyNumberFormat="1" applyFont="1" applyFill="1" applyBorder="1" applyAlignment="1" applyProtection="1">
      <alignment horizontal="center"/>
      <protection/>
    </xf>
    <xf numFmtId="164" fontId="0" fillId="5" borderId="14" xfId="0" applyFont="1" applyFill="1" applyBorder="1" applyAlignment="1" applyProtection="1">
      <alignment horizontal="center"/>
      <protection/>
    </xf>
    <xf numFmtId="164" fontId="2" fillId="3" borderId="1" xfId="0" applyFont="1" applyFill="1" applyBorder="1" applyAlignment="1" applyProtection="1">
      <alignment horizontal="center"/>
      <protection/>
    </xf>
    <xf numFmtId="164" fontId="0" fillId="8" borderId="1" xfId="0" applyFont="1" applyFill="1" applyBorder="1" applyAlignment="1" applyProtection="1">
      <alignment horizontal="center"/>
      <protection/>
    </xf>
    <xf numFmtId="166" fontId="0" fillId="9" borderId="15" xfId="0" applyNumberFormat="1" applyFont="1" applyFill="1" applyBorder="1" applyAlignment="1" applyProtection="1">
      <alignment horizontal="center"/>
      <protection/>
    </xf>
    <xf numFmtId="165" fontId="2" fillId="9" borderId="15" xfId="0" applyNumberFormat="1" applyFont="1" applyFill="1" applyBorder="1" applyAlignment="1" applyProtection="1">
      <alignment horizontal="center"/>
      <protection/>
    </xf>
    <xf numFmtId="165" fontId="0" fillId="3" borderId="1" xfId="0" applyNumberFormat="1" applyFont="1" applyFill="1" applyBorder="1" applyAlignment="1" applyProtection="1">
      <alignment horizontal="center"/>
      <protection/>
    </xf>
    <xf numFmtId="165" fontId="2" fillId="3" borderId="1" xfId="0" applyNumberFormat="1" applyFont="1" applyFill="1" applyBorder="1" applyAlignment="1" applyProtection="1">
      <alignment horizontal="center"/>
      <protection/>
    </xf>
    <xf numFmtId="167" fontId="2" fillId="8" borderId="1" xfId="0" applyNumberFormat="1" applyFont="1" applyFill="1" applyBorder="1" applyAlignment="1" applyProtection="1">
      <alignment/>
      <protection/>
    </xf>
    <xf numFmtId="165" fontId="0" fillId="6" borderId="15" xfId="0" applyNumberFormat="1" applyFont="1" applyFill="1" applyBorder="1" applyAlignment="1" applyProtection="1">
      <alignment horizontal="center"/>
      <protection/>
    </xf>
    <xf numFmtId="165" fontId="0" fillId="7" borderId="15" xfId="0" applyNumberFormat="1" applyFont="1" applyFill="1" applyBorder="1" applyAlignment="1" applyProtection="1">
      <alignment horizontal="center"/>
      <protection/>
    </xf>
    <xf numFmtId="164" fontId="0" fillId="5" borderId="15" xfId="0" applyFont="1" applyFill="1" applyBorder="1" applyAlignment="1" applyProtection="1">
      <alignment horizontal="center"/>
      <protection/>
    </xf>
    <xf numFmtId="165" fontId="0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4" fontId="2" fillId="0" borderId="14" xfId="0" applyFont="1" applyFill="1" applyBorder="1" applyAlignment="1" applyProtection="1">
      <alignment horizontal="center"/>
      <protection/>
    </xf>
    <xf numFmtId="164" fontId="2" fillId="8" borderId="16" xfId="0" applyFont="1" applyFill="1" applyBorder="1" applyAlignment="1" applyProtection="1">
      <alignment horizontal="center"/>
      <protection/>
    </xf>
    <xf numFmtId="165" fontId="0" fillId="0" borderId="14" xfId="0" applyNumberFormat="1" applyFont="1" applyBorder="1" applyAlignment="1" applyProtection="1">
      <alignment/>
      <protection/>
    </xf>
    <xf numFmtId="165" fontId="2" fillId="9" borderId="14" xfId="0" applyNumberFormat="1" applyFont="1" applyFill="1" applyBorder="1" applyAlignment="1" applyProtection="1">
      <alignment/>
      <protection/>
    </xf>
    <xf numFmtId="165" fontId="0" fillId="0" borderId="2" xfId="0" applyNumberFormat="1" applyFont="1" applyBorder="1" applyAlignment="1" applyProtection="1">
      <alignment/>
      <protection/>
    </xf>
    <xf numFmtId="165" fontId="2" fillId="3" borderId="14" xfId="0" applyNumberFormat="1" applyFont="1" applyFill="1" applyBorder="1" applyAlignment="1" applyProtection="1">
      <alignment/>
      <protection/>
    </xf>
    <xf numFmtId="165" fontId="2" fillId="8" borderId="14" xfId="0" applyNumberFormat="1" applyFont="1" applyFill="1" applyBorder="1" applyAlignment="1" applyProtection="1">
      <alignment/>
      <protection/>
    </xf>
    <xf numFmtId="165" fontId="0" fillId="6" borderId="14" xfId="0" applyNumberFormat="1" applyFont="1" applyFill="1" applyBorder="1" applyAlignment="1" applyProtection="1">
      <alignment/>
      <protection/>
    </xf>
    <xf numFmtId="165" fontId="0" fillId="7" borderId="14" xfId="0" applyNumberFormat="1" applyFont="1" applyFill="1" applyBorder="1" applyAlignment="1" applyProtection="1">
      <alignment/>
      <protection/>
    </xf>
    <xf numFmtId="164" fontId="0" fillId="5" borderId="14" xfId="0" applyFont="1" applyFill="1" applyBorder="1" applyAlignment="1" applyProtection="1">
      <alignment/>
      <protection/>
    </xf>
    <xf numFmtId="164" fontId="2" fillId="0" borderId="17" xfId="0" applyFont="1" applyFill="1" applyBorder="1" applyAlignment="1" applyProtection="1">
      <alignment horizontal="center"/>
      <protection/>
    </xf>
    <xf numFmtId="164" fontId="2" fillId="8" borderId="18" xfId="0" applyFont="1" applyFill="1" applyBorder="1" applyAlignment="1" applyProtection="1">
      <alignment horizontal="center"/>
      <protection/>
    </xf>
    <xf numFmtId="167" fontId="0" fillId="0" borderId="17" xfId="0" applyNumberFormat="1" applyFont="1" applyBorder="1" applyAlignment="1" applyProtection="1">
      <alignment/>
      <protection/>
    </xf>
    <xf numFmtId="167" fontId="2" fillId="9" borderId="17" xfId="0" applyNumberFormat="1" applyFont="1" applyFill="1" applyBorder="1" applyAlignment="1" applyProtection="1">
      <alignment/>
      <protection/>
    </xf>
    <xf numFmtId="165" fontId="0" fillId="0" borderId="17" xfId="0" applyNumberFormat="1" applyFont="1" applyBorder="1" applyAlignment="1" applyProtection="1">
      <alignment/>
      <protection/>
    </xf>
    <xf numFmtId="167" fontId="2" fillId="3" borderId="17" xfId="0" applyNumberFormat="1" applyFont="1" applyFill="1" applyBorder="1" applyAlignment="1" applyProtection="1">
      <alignment/>
      <protection/>
    </xf>
    <xf numFmtId="167" fontId="2" fillId="8" borderId="17" xfId="0" applyNumberFormat="1" applyFont="1" applyFill="1" applyBorder="1" applyAlignment="1" applyProtection="1">
      <alignment/>
      <protection/>
    </xf>
    <xf numFmtId="167" fontId="0" fillId="6" borderId="17" xfId="0" applyNumberFormat="1" applyFont="1" applyFill="1" applyBorder="1" applyAlignment="1" applyProtection="1">
      <alignment/>
      <protection/>
    </xf>
    <xf numFmtId="167" fontId="0" fillId="7" borderId="17" xfId="0" applyNumberFormat="1" applyFont="1" applyFill="1" applyBorder="1" applyAlignment="1" applyProtection="1">
      <alignment/>
      <protection/>
    </xf>
    <xf numFmtId="167" fontId="0" fillId="5" borderId="17" xfId="0" applyNumberFormat="1" applyFont="1" applyFill="1" applyBorder="1" applyAlignment="1" applyProtection="1">
      <alignment/>
      <protection/>
    </xf>
    <xf numFmtId="164" fontId="0" fillId="5" borderId="17" xfId="0" applyFont="1" applyFill="1" applyBorder="1" applyAlignment="1" applyProtection="1">
      <alignment/>
      <protection/>
    </xf>
    <xf numFmtId="164" fontId="2" fillId="0" borderId="15" xfId="0" applyFont="1" applyFill="1" applyBorder="1" applyAlignment="1" applyProtection="1">
      <alignment horizontal="center"/>
      <protection/>
    </xf>
    <xf numFmtId="164" fontId="2" fillId="8" borderId="15" xfId="0" applyFont="1" applyFill="1" applyBorder="1" applyAlignment="1" applyProtection="1">
      <alignment horizontal="center"/>
      <protection/>
    </xf>
    <xf numFmtId="165" fontId="0" fillId="0" borderId="15" xfId="0" applyNumberFormat="1" applyFont="1" applyBorder="1" applyAlignment="1" applyProtection="1">
      <alignment/>
      <protection/>
    </xf>
    <xf numFmtId="165" fontId="2" fillId="9" borderId="15" xfId="0" applyNumberFormat="1" applyFont="1" applyFill="1" applyBorder="1" applyAlignment="1" applyProtection="1">
      <alignment/>
      <protection/>
    </xf>
    <xf numFmtId="165" fontId="0" fillId="0" borderId="8" xfId="0" applyNumberFormat="1" applyFont="1" applyBorder="1" applyAlignment="1" applyProtection="1">
      <alignment/>
      <protection/>
    </xf>
    <xf numFmtId="165" fontId="2" fillId="3" borderId="15" xfId="0" applyNumberFormat="1" applyFont="1" applyFill="1" applyBorder="1" applyAlignment="1" applyProtection="1">
      <alignment/>
      <protection/>
    </xf>
    <xf numFmtId="165" fontId="2" fillId="8" borderId="15" xfId="0" applyNumberFormat="1" applyFont="1" applyFill="1" applyBorder="1" applyAlignment="1" applyProtection="1">
      <alignment/>
      <protection/>
    </xf>
    <xf numFmtId="165" fontId="0" fillId="6" borderId="15" xfId="0" applyNumberFormat="1" applyFont="1" applyFill="1" applyBorder="1" applyAlignment="1" applyProtection="1">
      <alignment/>
      <protection/>
    </xf>
    <xf numFmtId="165" fontId="0" fillId="7" borderId="15" xfId="0" applyNumberFormat="1" applyFont="1" applyFill="1" applyBorder="1" applyAlignment="1" applyProtection="1">
      <alignment/>
      <protection/>
    </xf>
    <xf numFmtId="164" fontId="0" fillId="5" borderId="15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7" fontId="0" fillId="0" borderId="1" xfId="0" applyNumberFormat="1" applyFont="1" applyBorder="1" applyAlignment="1" applyProtection="1">
      <alignment/>
      <protection/>
    </xf>
    <xf numFmtId="167" fontId="2" fillId="9" borderId="1" xfId="0" applyNumberFormat="1" applyFont="1" applyFill="1" applyBorder="1" applyAlignment="1" applyProtection="1">
      <alignment/>
      <protection/>
    </xf>
    <xf numFmtId="165" fontId="0" fillId="0" borderId="12" xfId="0" applyNumberFormat="1" applyFont="1" applyBorder="1" applyAlignment="1" applyProtection="1">
      <alignment/>
      <protection/>
    </xf>
    <xf numFmtId="167" fontId="2" fillId="3" borderId="1" xfId="0" applyNumberFormat="1" applyFont="1" applyFill="1" applyBorder="1" applyAlignment="1" applyProtection="1">
      <alignment/>
      <protection/>
    </xf>
    <xf numFmtId="167" fontId="2" fillId="0" borderId="0" xfId="0" applyNumberFormat="1" applyFont="1" applyBorder="1" applyAlignment="1" applyProtection="1">
      <alignment/>
      <protection/>
    </xf>
    <xf numFmtId="167" fontId="0" fillId="6" borderId="1" xfId="0" applyNumberFormat="1" applyFont="1" applyFill="1" applyBorder="1" applyAlignment="1" applyProtection="1">
      <alignment/>
      <protection/>
    </xf>
    <xf numFmtId="167" fontId="0" fillId="7" borderId="1" xfId="0" applyNumberFormat="1" applyFont="1" applyFill="1" applyBorder="1" applyAlignment="1" applyProtection="1">
      <alignment/>
      <protection/>
    </xf>
    <xf numFmtId="167" fontId="0" fillId="5" borderId="1" xfId="0" applyNumberFormat="1" applyFont="1" applyFill="1" applyBorder="1" applyAlignment="1" applyProtection="1">
      <alignment/>
      <protection/>
    </xf>
    <xf numFmtId="164" fontId="12" fillId="0" borderId="0" xfId="0" applyFont="1" applyBorder="1" applyAlignment="1" applyProtection="1">
      <alignment horizontal="right"/>
      <protection/>
    </xf>
    <xf numFmtId="164" fontId="12" fillId="0" borderId="0" xfId="0" applyFont="1" applyBorder="1" applyAlignment="1" applyProtection="1">
      <alignment/>
      <protection/>
    </xf>
    <xf numFmtId="165" fontId="12" fillId="0" borderId="3" xfId="0" applyNumberFormat="1" applyFont="1" applyBorder="1" applyAlignment="1" applyProtection="1">
      <alignment/>
      <protection/>
    </xf>
    <xf numFmtId="165" fontId="13" fillId="0" borderId="3" xfId="0" applyNumberFormat="1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 horizontal="righ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165" fontId="13" fillId="0" borderId="0" xfId="0" applyNumberFormat="1" applyFont="1" applyBorder="1" applyAlignment="1" applyProtection="1">
      <alignment/>
      <protection/>
    </xf>
    <xf numFmtId="167" fontId="12" fillId="0" borderId="0" xfId="0" applyNumberFormat="1" applyFont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 horizontal="left"/>
      <protection locked="0"/>
    </xf>
    <xf numFmtId="167" fontId="13" fillId="0" borderId="0" xfId="0" applyNumberFormat="1" applyFont="1" applyBorder="1" applyAlignment="1" applyProtection="1">
      <alignment/>
      <protection/>
    </xf>
    <xf numFmtId="167" fontId="0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sz val="9"/>
        <color rgb="FF000000"/>
      </font>
      <fill>
        <patternFill patternType="solid">
          <fgColor rgb="FFFF8080"/>
          <bgColor rgb="FFFF99CC"/>
        </patternFill>
      </fill>
      <border/>
    </dxf>
    <dxf>
      <font>
        <b val="0"/>
        <sz val="9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9525</xdr:rowOff>
    </xdr:from>
    <xdr:to>
      <xdr:col>6</xdr:col>
      <xdr:colOff>819150</xdr:colOff>
      <xdr:row>0</xdr:row>
      <xdr:rowOff>247650</xdr:rowOff>
    </xdr:to>
    <xdr:grpSp>
      <xdr:nvGrpSpPr>
        <xdr:cNvPr id="1" name="Group 1"/>
        <xdr:cNvGrpSpPr>
          <a:grpSpLocks/>
        </xdr:cNvGrpSpPr>
      </xdr:nvGrpSpPr>
      <xdr:grpSpPr>
        <a:xfrm>
          <a:off x="733425" y="9525"/>
          <a:ext cx="2895600" cy="228600"/>
          <a:chOff x="965" y="20"/>
          <a:chExt cx="3844" cy="373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65" y="20"/>
            <a:ext cx="3844" cy="373"/>
          </a:xfrm>
          <a:prstGeom prst="rect">
            <a:avLst/>
          </a:prstGeom>
          <a:solidFill>
            <a:srgbClr val="FFFF99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965" y="20"/>
            <a:ext cx="3844" cy="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b"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RECETTES</a:t>
            </a:r>
          </a:p>
        </xdr:txBody>
      </xdr:sp>
    </xdr:grpSp>
    <xdr:clientData/>
  </xdr:twoCellAnchor>
  <xdr:twoCellAnchor>
    <xdr:from>
      <xdr:col>8</xdr:col>
      <xdr:colOff>9525</xdr:colOff>
      <xdr:row>0</xdr:row>
      <xdr:rowOff>9525</xdr:rowOff>
    </xdr:from>
    <xdr:to>
      <xdr:col>16</xdr:col>
      <xdr:colOff>819150</xdr:colOff>
      <xdr:row>0</xdr:row>
      <xdr:rowOff>247650</xdr:rowOff>
    </xdr:to>
    <xdr:grpSp>
      <xdr:nvGrpSpPr>
        <xdr:cNvPr id="4" name="Group 4"/>
        <xdr:cNvGrpSpPr>
          <a:grpSpLocks/>
        </xdr:cNvGrpSpPr>
      </xdr:nvGrpSpPr>
      <xdr:grpSpPr>
        <a:xfrm>
          <a:off x="3724275" y="9525"/>
          <a:ext cx="7629525" cy="228600"/>
          <a:chOff x="4945" y="20"/>
          <a:chExt cx="10128" cy="373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4945" y="20"/>
            <a:ext cx="10128" cy="373"/>
          </a:xfrm>
          <a:prstGeom prst="rect">
            <a:avLst/>
          </a:prstGeom>
          <a:solidFill>
            <a:srgbClr val="CCFFCC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 fLocksText="0">
        <xdr:nvSpPr>
          <xdr:cNvPr id="6" name="TextBox 6"/>
          <xdr:cNvSpPr txBox="1">
            <a:spLocks noChangeArrowheads="1"/>
          </xdr:cNvSpPr>
        </xdr:nvSpPr>
        <xdr:spPr>
          <a:xfrm>
            <a:off x="4945" y="20"/>
            <a:ext cx="10128" cy="3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0160" tIns="10080" rIns="20160" bIns="10080" anchor="b"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DÉPENSES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tabSelected="1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6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42"/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enveloppe___0-J23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'09'!Q25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enveloppe___10-J23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'10'!Q25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enveloppe___11-J23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'11'!Q25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enveloppe___12-J23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'12'!Q25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enveloppe___13-J23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'13'!Q25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enveloppe___14-J23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'14'!Q25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enveloppe___15-J23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'15'!Q25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enveloppe___16-J23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'16'!Q25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enveloppe___17-J23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'17'!Q25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enveloppe___18-J23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'18'!Q25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enveloppe___19-J23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'01'!Q25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'19'!Q25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enveloppe___20-J23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'20'!Q25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enveloppe___21-J23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'21'!Q25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enveloppe___22-J23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'22'!Q25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enveloppe___23-J23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'23'!Q25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enveloppe___24-J23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'24'!Q25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enveloppe___25-J23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'25'!Q25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enveloppe___26-J23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'26'!Q25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enveloppe___27-J23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'27'!Q25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enveloppe___28-J23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'28'!Q25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enveloppe___29-J23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'02'!Q25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enveloppe___3-J23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'29'!Q25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enveloppe___30-J23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'30'!Q25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enveloppe___31-J23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V172"/>
  <sheetViews>
    <sheetView showRowColHeaders="0" showZeros="0" showOutlineSymbols="0" workbookViewId="0" topLeftCell="A1">
      <selection activeCell="P40" sqref="P40"/>
    </sheetView>
  </sheetViews>
  <sheetFormatPr defaultColWidth="11.00390625" defaultRowHeight="12"/>
  <cols>
    <col min="1" max="1" width="3.875" style="0" customWidth="1"/>
    <col min="2" max="2" width="4.375" style="0" customWidth="1"/>
    <col min="3" max="3" width="1.00390625" style="0" customWidth="1"/>
    <col min="4" max="4" width="9.875" style="0" customWidth="1"/>
    <col min="5" max="5" width="7.875" style="0" customWidth="1"/>
    <col min="6" max="6" width="9.875" style="0" customWidth="1"/>
    <col min="7" max="7" width="10.875" style="0" customWidth="1"/>
    <col min="8" max="8" width="1.00390625" style="0" customWidth="1"/>
    <col min="9" max="9" width="9.875" style="0" customWidth="1"/>
    <col min="10" max="10" width="9.375" style="0" customWidth="1"/>
    <col min="11" max="15" width="9.875" style="0" customWidth="1"/>
    <col min="16" max="16" width="20.875" style="0" customWidth="1"/>
    <col min="17" max="17" width="10.875" style="0" customWidth="1"/>
    <col min="18" max="18" width="1.00390625" style="0" customWidth="1"/>
    <col min="19" max="19" width="10.875" style="0" customWidth="1"/>
    <col min="20" max="20" width="1.00390625" style="0" customWidth="1"/>
    <col min="21" max="21" width="4.375" style="0" customWidth="1"/>
    <col min="22" max="22" width="1.00390625" style="0" customWidth="1"/>
    <col min="23" max="23" width="8.875" style="0" customWidth="1"/>
    <col min="24" max="24" width="1.00390625" style="0" customWidth="1"/>
    <col min="25" max="25" width="10.875" style="0" customWidth="1"/>
    <col min="26" max="26" width="8.875" style="0" customWidth="1"/>
    <col min="27" max="27" width="1.00390625" style="0" customWidth="1"/>
    <col min="28" max="28" width="8.875" style="0" customWidth="1"/>
    <col min="29" max="16384" width="10.875" style="0" customWidth="1"/>
  </cols>
  <sheetData>
    <row r="1" spans="1:256" s="56" customFormat="1" ht="19.5" customHeight="1">
      <c r="A1" s="55"/>
      <c r="B1" s="55"/>
      <c r="D1" s="57"/>
      <c r="E1" s="58"/>
      <c r="F1" s="58"/>
      <c r="G1" s="59"/>
      <c r="I1" s="60"/>
      <c r="J1" s="61"/>
      <c r="K1" s="61"/>
      <c r="L1" s="61"/>
      <c r="M1" s="61"/>
      <c r="N1" s="61"/>
      <c r="O1" s="61"/>
      <c r="P1" s="61"/>
      <c r="Q1" s="62"/>
      <c r="S1" s="63"/>
      <c r="U1" s="55"/>
      <c r="W1" s="64" t="s">
        <v>28</v>
      </c>
      <c r="Y1" s="65" t="s">
        <v>18</v>
      </c>
      <c r="Z1" s="65" t="s">
        <v>18</v>
      </c>
      <c r="AB1" s="66" t="s">
        <v>29</v>
      </c>
      <c r="IV1"/>
    </row>
    <row r="2" spans="1:256" s="56" customFormat="1" ht="15.75" customHeight="1">
      <c r="A2" s="67" t="s">
        <v>30</v>
      </c>
      <c r="B2" s="68" t="s">
        <v>31</v>
      </c>
      <c r="D2" s="69" t="s">
        <v>32</v>
      </c>
      <c r="E2" s="69" t="s">
        <v>33</v>
      </c>
      <c r="F2" s="69" t="s">
        <v>34</v>
      </c>
      <c r="G2" s="70" t="s">
        <v>29</v>
      </c>
      <c r="I2" s="71" t="s">
        <v>7</v>
      </c>
      <c r="J2" s="71" t="s">
        <v>9</v>
      </c>
      <c r="K2" s="71" t="s">
        <v>12</v>
      </c>
      <c r="L2" s="71" t="s">
        <v>35</v>
      </c>
      <c r="M2" s="71" t="s">
        <v>15</v>
      </c>
      <c r="N2" s="71" t="s">
        <v>16</v>
      </c>
      <c r="O2" s="71" t="s">
        <v>36</v>
      </c>
      <c r="P2" s="62" t="s">
        <v>37</v>
      </c>
      <c r="Q2" s="72" t="s">
        <v>29</v>
      </c>
      <c r="S2" s="73">
        <v>2000</v>
      </c>
      <c r="U2" s="68" t="s">
        <v>31</v>
      </c>
      <c r="W2" s="74" t="s">
        <v>27</v>
      </c>
      <c r="Y2" s="75" t="s">
        <v>23</v>
      </c>
      <c r="Z2" s="75" t="s">
        <v>27</v>
      </c>
      <c r="AB2" s="76" t="s">
        <v>38</v>
      </c>
      <c r="IV2"/>
    </row>
    <row r="3" spans="1:256" s="20" customFormat="1" ht="6.75" customHeight="1">
      <c r="A3" s="55"/>
      <c r="B3" s="55"/>
      <c r="D3" s="77"/>
      <c r="E3" s="77"/>
      <c r="F3" s="77"/>
      <c r="G3" s="77"/>
      <c r="I3" s="77"/>
      <c r="J3" s="77"/>
      <c r="K3" s="77"/>
      <c r="L3" s="77"/>
      <c r="M3" s="77"/>
      <c r="N3" s="77"/>
      <c r="O3" s="77"/>
      <c r="P3" s="77"/>
      <c r="Q3" s="77"/>
      <c r="S3" s="78"/>
      <c r="U3" s="55"/>
      <c r="W3" s="77"/>
      <c r="Y3" s="77"/>
      <c r="Z3" s="77"/>
      <c r="IV3"/>
    </row>
    <row r="4" spans="1:256" s="20" customFormat="1" ht="6.75" customHeight="1">
      <c r="A4" s="79"/>
      <c r="B4" s="80"/>
      <c r="D4" s="81"/>
      <c r="E4" s="81"/>
      <c r="F4" s="81"/>
      <c r="G4" s="82"/>
      <c r="I4" s="81"/>
      <c r="J4" s="83"/>
      <c r="K4" s="83"/>
      <c r="L4" s="83"/>
      <c r="M4" s="83"/>
      <c r="N4" s="83"/>
      <c r="O4" s="81"/>
      <c r="P4" s="81"/>
      <c r="Q4" s="84"/>
      <c r="S4" s="85"/>
      <c r="U4" s="80">
        <f>B4</f>
        <v>0</v>
      </c>
      <c r="W4" s="86"/>
      <c r="Y4" s="87"/>
      <c r="Z4" s="87"/>
      <c r="AB4" s="88"/>
      <c r="IV4"/>
    </row>
    <row r="5" spans="1:256" s="20" customFormat="1" ht="12.75" customHeight="1">
      <c r="A5" s="89">
        <f>IF(G5&gt;0,"x",0)</f>
        <v>0</v>
      </c>
      <c r="B5" s="90">
        <v>1</v>
      </c>
      <c r="C5" s="20">
        <f>IF(G5&gt;0,1,0)</f>
        <v>0</v>
      </c>
      <c r="D5" s="91">
        <f>ca_6___0</f>
        <v>0</v>
      </c>
      <c r="E5" s="91">
        <f>ca_12___0</f>
        <v>0</v>
      </c>
      <c r="F5" s="91">
        <f>ca_21___0</f>
        <v>0</v>
      </c>
      <c r="G5" s="92">
        <f>SUM(D5:F5)</f>
        <v>0</v>
      </c>
      <c r="I5" s="91">
        <f>banksys___0</f>
        <v>0</v>
      </c>
      <c r="J5" s="91">
        <f>carte___0+proton___0</f>
        <v>0</v>
      </c>
      <c r="K5" s="91">
        <f>ristournes___0</f>
        <v>0</v>
      </c>
      <c r="L5" s="91"/>
      <c r="M5" s="91">
        <f>retrait1___0</f>
        <v>0</v>
      </c>
      <c r="N5" s="91">
        <f>-retrait2___0</f>
        <v>0</v>
      </c>
      <c r="O5" s="91">
        <f>retrait3___0+retrait4___0</f>
        <v>0</v>
      </c>
      <c r="P5" s="93">
        <f>CONCATENATE(lib3___0,IF(lib4___0&lt;&gt;"",",",""),lib4___0)</f>
      </c>
      <c r="Q5" s="94">
        <f>SUM(I5:O5)</f>
        <v>0</v>
      </c>
      <c r="S5" s="95">
        <f>S2+G5-Q5-Y5+W5</f>
        <v>2000</v>
      </c>
      <c r="U5" s="90">
        <f>B5</f>
        <v>1</v>
      </c>
      <c r="W5" s="96">
        <f>'01'!E31</f>
        <v>0</v>
      </c>
      <c r="Y5" s="97">
        <f>enveloppe___0</f>
        <v>0</v>
      </c>
      <c r="Z5" s="97">
        <f>'01'!J31</f>
        <v>0</v>
      </c>
      <c r="AB5" s="98">
        <f>W5-Z5</f>
        <v>0</v>
      </c>
      <c r="IV5"/>
    </row>
    <row r="6" spans="1:256" s="20" customFormat="1" ht="12.75" customHeight="1">
      <c r="A6" s="89">
        <f>IF(G6&gt;0,"x",0)</f>
        <v>0</v>
      </c>
      <c r="B6" s="90">
        <v>2</v>
      </c>
      <c r="C6" s="20">
        <f>IF(G6&gt;0,1,0)</f>
        <v>0</v>
      </c>
      <c r="D6" s="91">
        <f>ca_6</f>
        <v>0</v>
      </c>
      <c r="E6" s="91">
        <f>ca_12</f>
        <v>0</v>
      </c>
      <c r="F6" s="91">
        <f>ca_21</f>
        <v>0</v>
      </c>
      <c r="G6" s="92">
        <f>SUM(D6:F6)</f>
        <v>0</v>
      </c>
      <c r="I6" s="91">
        <f>banksys</f>
        <v>0</v>
      </c>
      <c r="J6" s="91">
        <f>carte+proton</f>
        <v>0</v>
      </c>
      <c r="K6" s="91">
        <f>ristournes</f>
        <v>0</v>
      </c>
      <c r="L6" s="91"/>
      <c r="M6" s="91">
        <f>retrait1</f>
        <v>0</v>
      </c>
      <c r="N6" s="91">
        <f>-retrait2</f>
        <v>0</v>
      </c>
      <c r="O6" s="91">
        <f>retrait3+retrait4</f>
        <v>0</v>
      </c>
      <c r="P6" s="93">
        <f>CONCATENATE(lib3,IF(lib4&lt;&gt;"",",",""),lib4)</f>
      </c>
      <c r="Q6" s="94">
        <f>SUM(I6:O6)</f>
        <v>0</v>
      </c>
      <c r="S6" s="95">
        <f>S5+G6-Q6-Y6+W6</f>
        <v>2000</v>
      </c>
      <c r="U6" s="90">
        <f>B6</f>
        <v>2</v>
      </c>
      <c r="W6" s="96">
        <f>IF(G6&gt;0,'02'!E31,0)</f>
        <v>0</v>
      </c>
      <c r="Y6" s="97">
        <f>enveloppe</f>
        <v>0</v>
      </c>
      <c r="Z6" s="97">
        <f>'02'!J31</f>
        <v>0</v>
      </c>
      <c r="AB6" s="98">
        <f>W6-Z6</f>
        <v>0</v>
      </c>
      <c r="IV6"/>
    </row>
    <row r="7" spans="1:256" s="20" customFormat="1" ht="12.75" customHeight="1">
      <c r="A7" s="89">
        <f>IF(G7&gt;0,"x",0)</f>
        <v>0</v>
      </c>
      <c r="B7" s="90">
        <v>3</v>
      </c>
      <c r="C7" s="20">
        <f>IF(G7&gt;0,1,0)</f>
        <v>0</v>
      </c>
      <c r="D7" s="91">
        <f>ca_6___3</f>
        <v>0</v>
      </c>
      <c r="E7" s="91">
        <f>ca_12___3</f>
        <v>0</v>
      </c>
      <c r="F7" s="91">
        <f>ca_21___3</f>
        <v>0</v>
      </c>
      <c r="G7" s="92">
        <f>SUM(D7:F7)</f>
        <v>0</v>
      </c>
      <c r="I7" s="91">
        <f>banksys___3</f>
        <v>0</v>
      </c>
      <c r="J7" s="91">
        <f>carte___3+proton___3</f>
        <v>0</v>
      </c>
      <c r="K7" s="91">
        <f>ristournes___3</f>
        <v>0</v>
      </c>
      <c r="L7" s="91"/>
      <c r="M7" s="91">
        <f>retrait1___3</f>
        <v>0</v>
      </c>
      <c r="N7" s="91">
        <f>-retrait2___3</f>
        <v>0</v>
      </c>
      <c r="O7" s="91">
        <f>retrait3___3+retrait4___3</f>
        <v>0</v>
      </c>
      <c r="P7" s="93">
        <f>CONCATENATE(lib3___3,IF(lib4___3&lt;&gt;"",",",""),lib4___3)</f>
      </c>
      <c r="Q7" s="94">
        <f>SUM(I7:O7)</f>
        <v>0</v>
      </c>
      <c r="S7" s="95">
        <f>S6+G7-Q7-Y7+W7</f>
        <v>2000</v>
      </c>
      <c r="U7" s="90">
        <f>B7</f>
        <v>3</v>
      </c>
      <c r="W7" s="96">
        <f>'03'!E31</f>
        <v>0</v>
      </c>
      <c r="Y7" s="97">
        <f>enveloppe___3</f>
        <v>0</v>
      </c>
      <c r="Z7" s="97">
        <f>'03'!J31</f>
        <v>0</v>
      </c>
      <c r="AB7" s="98">
        <f>W7-Z7</f>
        <v>0</v>
      </c>
      <c r="IV7"/>
    </row>
    <row r="8" spans="1:256" s="20" customFormat="1" ht="12.75" customHeight="1">
      <c r="A8" s="89">
        <f>IF(G8&gt;0,"x",0)</f>
        <v>0</v>
      </c>
      <c r="B8" s="90">
        <v>4</v>
      </c>
      <c r="C8" s="20">
        <f>IF(G8&gt;0,1,0)</f>
        <v>0</v>
      </c>
      <c r="D8" s="91">
        <f>ca_6___4</f>
        <v>0</v>
      </c>
      <c r="E8" s="91">
        <f>ca_12___4</f>
        <v>0</v>
      </c>
      <c r="F8" s="91">
        <f>ca_21___4</f>
        <v>0</v>
      </c>
      <c r="G8" s="92">
        <f>SUM(D8:F8)</f>
        <v>0</v>
      </c>
      <c r="I8" s="91">
        <f>banksys___4</f>
        <v>0</v>
      </c>
      <c r="J8" s="91">
        <f>carte___4+proton___4</f>
        <v>0</v>
      </c>
      <c r="K8" s="91">
        <f>ristournes___4</f>
        <v>0</v>
      </c>
      <c r="L8" s="91"/>
      <c r="M8" s="91">
        <f>retrait1___4</f>
        <v>0</v>
      </c>
      <c r="N8" s="91">
        <f>-retrait2___4</f>
        <v>0</v>
      </c>
      <c r="O8" s="91">
        <f>retrait3___4+retrait4___4</f>
        <v>0</v>
      </c>
      <c r="P8" s="93">
        <f>CONCATENATE(lib3___4,IF(lib4___4&lt;&gt;"",",",""),lib4___4)</f>
      </c>
      <c r="Q8" s="94">
        <f>SUM(I8:O8)</f>
        <v>0</v>
      </c>
      <c r="S8" s="95">
        <f>S7+G8-Q8-Y8+W8</f>
        <v>2000</v>
      </c>
      <c r="U8" s="90">
        <f>B8</f>
        <v>4</v>
      </c>
      <c r="W8" s="96">
        <f>'04'!E31</f>
        <v>0</v>
      </c>
      <c r="Y8" s="97">
        <f>enveloppe___4</f>
        <v>0</v>
      </c>
      <c r="Z8" s="97">
        <f>'04'!J31</f>
        <v>0</v>
      </c>
      <c r="AB8" s="98">
        <f>W8-Z8</f>
        <v>0</v>
      </c>
      <c r="IV8"/>
    </row>
    <row r="9" spans="1:256" s="20" customFormat="1" ht="12.75" customHeight="1">
      <c r="A9" s="89">
        <f>IF(G9&gt;0,"x",0)</f>
        <v>0</v>
      </c>
      <c r="B9" s="90">
        <v>5</v>
      </c>
      <c r="C9" s="20">
        <f>IF(G9&gt;0,1,0)</f>
        <v>0</v>
      </c>
      <c r="D9" s="91">
        <f>ca_6___5</f>
        <v>0</v>
      </c>
      <c r="E9" s="91">
        <f>ca_12___5</f>
        <v>0</v>
      </c>
      <c r="F9" s="91">
        <f>ca_21___5</f>
        <v>0</v>
      </c>
      <c r="G9" s="92">
        <f>SUM(D9:F9)</f>
        <v>0</v>
      </c>
      <c r="I9" s="91">
        <f>banksys___5</f>
        <v>0</v>
      </c>
      <c r="J9" s="91">
        <f>carte___5+proton___5</f>
        <v>0</v>
      </c>
      <c r="K9" s="91">
        <f>ristournes___5</f>
        <v>0</v>
      </c>
      <c r="L9" s="91"/>
      <c r="M9" s="91">
        <f>retrait1___5</f>
        <v>0</v>
      </c>
      <c r="N9" s="91">
        <f>-retrait2___5</f>
        <v>0</v>
      </c>
      <c r="O9" s="91">
        <f>retrait3___5+retrait4___5</f>
        <v>0</v>
      </c>
      <c r="P9" s="93">
        <f>CONCATENATE(lib3___5,IF(lib4___5&lt;&gt;"",",",""),lib4___5)</f>
      </c>
      <c r="Q9" s="94">
        <f>SUM(I9:O9)</f>
        <v>0</v>
      </c>
      <c r="S9" s="95">
        <f>S8+G9-Q9-Y9+W9</f>
        <v>2000</v>
      </c>
      <c r="U9" s="90">
        <f>B9</f>
        <v>5</v>
      </c>
      <c r="W9" s="96">
        <f>'05'!E31</f>
        <v>0</v>
      </c>
      <c r="Y9" s="97">
        <f>enveloppe___5</f>
        <v>0</v>
      </c>
      <c r="Z9" s="97">
        <f>'05'!J31</f>
        <v>0</v>
      </c>
      <c r="AB9" s="98">
        <f>W9-Z9</f>
        <v>0</v>
      </c>
      <c r="IV9"/>
    </row>
    <row r="10" spans="1:256" s="20" customFormat="1" ht="12.75" customHeight="1">
      <c r="A10" s="89">
        <f>IF(G10&gt;0,"x",0)</f>
        <v>0</v>
      </c>
      <c r="B10" s="90">
        <v>6</v>
      </c>
      <c r="C10" s="20">
        <f>IF(G10&gt;0,1,0)</f>
        <v>0</v>
      </c>
      <c r="D10" s="91">
        <f>ca_6___6</f>
        <v>0</v>
      </c>
      <c r="E10" s="91">
        <f>ca_12___6</f>
        <v>0</v>
      </c>
      <c r="F10" s="91">
        <f>ca_21___6</f>
        <v>0</v>
      </c>
      <c r="G10" s="92">
        <f>SUM(D10:F10)</f>
        <v>0</v>
      </c>
      <c r="I10" s="91">
        <f>banksys___6</f>
        <v>0</v>
      </c>
      <c r="J10" s="91">
        <f>carte___6+proton___6</f>
        <v>0</v>
      </c>
      <c r="K10" s="91">
        <f>ristournes___6</f>
        <v>0</v>
      </c>
      <c r="L10" s="91"/>
      <c r="M10" s="91">
        <f>retrait1___6</f>
        <v>0</v>
      </c>
      <c r="N10" s="91">
        <f>-retrait2___6</f>
        <v>0</v>
      </c>
      <c r="O10" s="91">
        <f>retrait3___6+retrait4___6</f>
        <v>0</v>
      </c>
      <c r="P10" s="93">
        <f>CONCATENATE(lib3___6,IF(lib4___6&lt;&gt;"",",",""),lib4___6)</f>
      </c>
      <c r="Q10" s="94">
        <f>SUM(I10:O10)</f>
        <v>0</v>
      </c>
      <c r="S10" s="95">
        <f>S9+G10-Q10-Y10+W10</f>
        <v>2000</v>
      </c>
      <c r="U10" s="90">
        <f>B10</f>
        <v>6</v>
      </c>
      <c r="W10" s="96">
        <f>'06'!E31</f>
        <v>0</v>
      </c>
      <c r="Y10" s="97">
        <f>enveloppe___6</f>
        <v>0</v>
      </c>
      <c r="Z10" s="97">
        <f>'06'!J31</f>
        <v>0</v>
      </c>
      <c r="AB10" s="98">
        <f>W10-Z10</f>
        <v>0</v>
      </c>
      <c r="IV10"/>
    </row>
    <row r="11" spans="1:256" s="20" customFormat="1" ht="12.75" customHeight="1">
      <c r="A11" s="89">
        <f>IF(G11&gt;0,"x",0)</f>
        <v>0</v>
      </c>
      <c r="B11" s="90">
        <v>7</v>
      </c>
      <c r="C11" s="20">
        <f>IF(G11&gt;0,1,0)</f>
        <v>0</v>
      </c>
      <c r="D11" s="91">
        <f>ca_6___7</f>
        <v>0</v>
      </c>
      <c r="E11" s="91">
        <f>ca_12___7</f>
        <v>0</v>
      </c>
      <c r="F11" s="91">
        <f>ca_21___7</f>
        <v>0</v>
      </c>
      <c r="G11" s="92">
        <f>SUM(D11:F11)</f>
        <v>0</v>
      </c>
      <c r="I11" s="91">
        <f>banksys___7</f>
        <v>0</v>
      </c>
      <c r="J11" s="91">
        <f>carte___7+proton___7</f>
        <v>0</v>
      </c>
      <c r="K11" s="91">
        <f>ristournes___7</f>
        <v>0</v>
      </c>
      <c r="L11" s="91"/>
      <c r="M11" s="91">
        <f>retrait1___7</f>
        <v>0</v>
      </c>
      <c r="N11" s="91">
        <f>-retrait2___7</f>
        <v>0</v>
      </c>
      <c r="O11" s="91">
        <f>retrait3___7+retrait4___7</f>
        <v>0</v>
      </c>
      <c r="P11" s="93">
        <f>CONCATENATE(lib3___7,IF(lib4___7&lt;&gt;"",",",""),lib4___7)</f>
      </c>
      <c r="Q11" s="94">
        <f>SUM(I11:O11)</f>
        <v>0</v>
      </c>
      <c r="S11" s="95">
        <f>S10+G11-Q11-Y11+W11</f>
        <v>2000</v>
      </c>
      <c r="U11" s="90">
        <f>B11</f>
        <v>7</v>
      </c>
      <c r="W11" s="96">
        <f>'07'!E31</f>
        <v>0</v>
      </c>
      <c r="Y11" s="97">
        <f>enveloppe___7</f>
        <v>0</v>
      </c>
      <c r="Z11" s="97">
        <f>'07'!J31</f>
        <v>0</v>
      </c>
      <c r="AB11" s="98">
        <f>W11-Z11</f>
        <v>0</v>
      </c>
      <c r="IV11"/>
    </row>
    <row r="12" spans="1:256" s="20" customFormat="1" ht="12.75" customHeight="1">
      <c r="A12" s="89">
        <f>IF(G12&gt;0,"x",0)</f>
        <v>0</v>
      </c>
      <c r="B12" s="90">
        <v>8</v>
      </c>
      <c r="C12" s="20">
        <f>IF(G12&gt;0,1,0)</f>
        <v>0</v>
      </c>
      <c r="D12" s="91">
        <f>ca_6___8</f>
        <v>0</v>
      </c>
      <c r="E12" s="91">
        <f>ca_12___8</f>
        <v>0</v>
      </c>
      <c r="F12" s="91">
        <f>ca_21___8</f>
        <v>0</v>
      </c>
      <c r="G12" s="92">
        <f>SUM(D12:F12)</f>
        <v>0</v>
      </c>
      <c r="I12" s="91">
        <f>banksys___8</f>
        <v>0</v>
      </c>
      <c r="J12" s="91">
        <f>carte___8+proton___8</f>
        <v>0</v>
      </c>
      <c r="K12" s="91">
        <f>ristournes___8</f>
        <v>0</v>
      </c>
      <c r="L12" s="91"/>
      <c r="M12" s="91">
        <f>retrait1___8</f>
        <v>0</v>
      </c>
      <c r="N12" s="91">
        <f>-retrait2___8</f>
        <v>0</v>
      </c>
      <c r="O12" s="91">
        <f>retrait3___8+retrait4___8</f>
        <v>0</v>
      </c>
      <c r="P12" s="93">
        <f>CONCATENATE(lib3___8,IF(lib4___8&lt;&gt;"",",",""),lib4___8)</f>
      </c>
      <c r="Q12" s="94">
        <f>SUM(I12:O12)</f>
        <v>0</v>
      </c>
      <c r="S12" s="95">
        <f>S11+G12-Q12-Y12+W12</f>
        <v>2000</v>
      </c>
      <c r="U12" s="90">
        <f>B12</f>
        <v>8</v>
      </c>
      <c r="W12" s="96">
        <f>'08'!E31</f>
        <v>0</v>
      </c>
      <c r="Y12" s="97">
        <f>enveloppe___8</f>
        <v>0</v>
      </c>
      <c r="Z12" s="97">
        <f>'08'!J31</f>
        <v>0</v>
      </c>
      <c r="AB12" s="98">
        <f>W12-Z12</f>
        <v>0</v>
      </c>
      <c r="IV12"/>
    </row>
    <row r="13" spans="1:256" s="20" customFormat="1" ht="12.75" customHeight="1">
      <c r="A13" s="89">
        <f>IF(G13&gt;0,"x",0)</f>
        <v>0</v>
      </c>
      <c r="B13" s="90">
        <v>9</v>
      </c>
      <c r="C13" s="20">
        <f>IF(G13&gt;0,1,0)</f>
        <v>0</v>
      </c>
      <c r="D13" s="91">
        <f>ca_6___9</f>
        <v>0</v>
      </c>
      <c r="E13" s="91">
        <f>ca_12___9</f>
        <v>0</v>
      </c>
      <c r="F13" s="91">
        <f>ca_21___9</f>
        <v>0</v>
      </c>
      <c r="G13" s="92">
        <f>SUM(D13:F13)</f>
        <v>0</v>
      </c>
      <c r="I13" s="91">
        <f>banksys___9</f>
        <v>0</v>
      </c>
      <c r="J13" s="91">
        <f>carte___9+proton___9</f>
        <v>0</v>
      </c>
      <c r="K13" s="91">
        <f>ristournes___9</f>
        <v>0</v>
      </c>
      <c r="L13" s="91"/>
      <c r="M13" s="91">
        <f>retrait1___9</f>
        <v>0</v>
      </c>
      <c r="N13" s="91">
        <f>-retrait2___9</f>
        <v>0</v>
      </c>
      <c r="O13" s="91">
        <f>retrait3___9+retrait4___9</f>
        <v>0</v>
      </c>
      <c r="P13" s="93">
        <f>CONCATENATE(lib3___9,IF(lib4___9&lt;&gt;"",",",""),lib4___9)</f>
      </c>
      <c r="Q13" s="94">
        <f>SUM(I13:O13)</f>
        <v>0</v>
      </c>
      <c r="S13" s="95">
        <f>S12+G13-Q13-Y13+W13</f>
        <v>2000</v>
      </c>
      <c r="U13" s="90">
        <f>B13</f>
        <v>9</v>
      </c>
      <c r="W13" s="96">
        <f>'09'!E31</f>
        <v>0</v>
      </c>
      <c r="Y13" s="97">
        <f>enveloppe___9</f>
        <v>0</v>
      </c>
      <c r="Z13" s="97">
        <f>'09'!J31</f>
        <v>0</v>
      </c>
      <c r="AB13" s="98">
        <f>W13-Z13</f>
        <v>0</v>
      </c>
      <c r="IV13"/>
    </row>
    <row r="14" spans="1:256" s="20" customFormat="1" ht="12.75" customHeight="1">
      <c r="A14" s="89">
        <f>IF(G14&gt;0,"x",0)</f>
        <v>0</v>
      </c>
      <c r="B14" s="90">
        <v>10</v>
      </c>
      <c r="C14" s="20">
        <f>IF(G14&gt;0,1,0)</f>
        <v>0</v>
      </c>
      <c r="D14" s="91">
        <f>ca_6___10</f>
        <v>0</v>
      </c>
      <c r="E14" s="91">
        <f>ca_12___10</f>
        <v>0</v>
      </c>
      <c r="F14" s="91">
        <f>ca_21___10</f>
        <v>0</v>
      </c>
      <c r="G14" s="92">
        <f>SUM(D14:F14)</f>
        <v>0</v>
      </c>
      <c r="I14" s="91">
        <f>banksys___10</f>
        <v>0</v>
      </c>
      <c r="J14" s="91">
        <f>carte___10+proton___10</f>
        <v>0</v>
      </c>
      <c r="K14" s="91">
        <f>ristournes___10</f>
        <v>0</v>
      </c>
      <c r="L14" s="91"/>
      <c r="M14" s="91">
        <f>retrait1___10</f>
        <v>0</v>
      </c>
      <c r="N14" s="91">
        <f>-retrait2___10</f>
        <v>0</v>
      </c>
      <c r="O14" s="91">
        <f>retrait3___10+retrait4___10</f>
        <v>0</v>
      </c>
      <c r="P14" s="93">
        <f>CONCATENATE(lib3___10,IF(lib4___10&lt;&gt;"",",",""),lib4___10)</f>
      </c>
      <c r="Q14" s="94">
        <f>SUM(I14:O14)</f>
        <v>0</v>
      </c>
      <c r="S14" s="95">
        <f>S13+G14-Q14-Y14+W14</f>
        <v>2000</v>
      </c>
      <c r="U14" s="90">
        <f>B14</f>
        <v>10</v>
      </c>
      <c r="W14" s="96">
        <f>'10'!E31</f>
        <v>0</v>
      </c>
      <c r="Y14" s="97">
        <f>enveloppe___10</f>
        <v>0</v>
      </c>
      <c r="Z14" s="97">
        <f>'10'!J31</f>
        <v>0</v>
      </c>
      <c r="AB14" s="98">
        <f>W14-Z14</f>
        <v>0</v>
      </c>
      <c r="IV14"/>
    </row>
    <row r="15" spans="1:256" s="20" customFormat="1" ht="12.75" customHeight="1">
      <c r="A15" s="89">
        <f>IF(G15&gt;0,"x",0)</f>
        <v>0</v>
      </c>
      <c r="B15" s="90">
        <v>11</v>
      </c>
      <c r="C15" s="20">
        <f>IF(G15&gt;0,1,0)</f>
        <v>0</v>
      </c>
      <c r="D15" s="91">
        <f>ca_6___11</f>
        <v>0</v>
      </c>
      <c r="E15" s="91">
        <f>ca_12___11</f>
        <v>0</v>
      </c>
      <c r="F15" s="91">
        <f>ca_21___11</f>
        <v>0</v>
      </c>
      <c r="G15" s="92">
        <f>SUM(D15:F15)</f>
        <v>0</v>
      </c>
      <c r="I15" s="91">
        <f>banksys___11</f>
        <v>0</v>
      </c>
      <c r="J15" s="91">
        <f>carte___11+proton___11</f>
        <v>0</v>
      </c>
      <c r="K15" s="91">
        <f>ristournes___11</f>
        <v>0</v>
      </c>
      <c r="L15" s="91"/>
      <c r="M15" s="91">
        <f>retrait1___11</f>
        <v>0</v>
      </c>
      <c r="N15" s="91">
        <f>-retrait2___11</f>
        <v>0</v>
      </c>
      <c r="O15" s="91">
        <f>retrait3___11+retrait4___11</f>
        <v>0</v>
      </c>
      <c r="P15" s="93">
        <f>CONCATENATE(lib3___11,IF(lib4___11&lt;&gt;"",",",""),lib4___11)</f>
      </c>
      <c r="Q15" s="94">
        <f>SUM(I15:O15)</f>
        <v>0</v>
      </c>
      <c r="S15" s="95">
        <f>S14+G15-Q15-Y15+W15</f>
        <v>2000</v>
      </c>
      <c r="U15" s="90">
        <f>B15</f>
        <v>11</v>
      </c>
      <c r="W15" s="96">
        <f>'11'!E31</f>
        <v>0</v>
      </c>
      <c r="Y15" s="97">
        <f>enveloppe___11</f>
        <v>0</v>
      </c>
      <c r="Z15" s="97">
        <f>'11'!J31</f>
        <v>0</v>
      </c>
      <c r="AB15" s="98">
        <f>W15-Z15</f>
        <v>0</v>
      </c>
      <c r="IV15"/>
    </row>
    <row r="16" spans="1:256" s="20" customFormat="1" ht="12.75" customHeight="1">
      <c r="A16" s="89">
        <f>IF(G16&gt;0,"x",0)</f>
        <v>0</v>
      </c>
      <c r="B16" s="90">
        <v>12</v>
      </c>
      <c r="C16" s="20">
        <f>IF(G16&gt;0,1,0)</f>
        <v>0</v>
      </c>
      <c r="D16" s="91">
        <f>ca_6___12</f>
        <v>0</v>
      </c>
      <c r="E16" s="91">
        <f>ca_12___12</f>
        <v>0</v>
      </c>
      <c r="F16" s="91">
        <f>ca_21___12</f>
        <v>0</v>
      </c>
      <c r="G16" s="92">
        <f>SUM(D16:F16)</f>
        <v>0</v>
      </c>
      <c r="I16" s="91">
        <f>banksys___12</f>
        <v>0</v>
      </c>
      <c r="J16" s="91">
        <f>carte___12+proton___12</f>
        <v>0</v>
      </c>
      <c r="K16" s="91">
        <f>ristournes___12</f>
        <v>0</v>
      </c>
      <c r="L16" s="91"/>
      <c r="M16" s="91">
        <f>retrait1___12</f>
        <v>0</v>
      </c>
      <c r="N16" s="91">
        <f>-retrait2___12</f>
        <v>0</v>
      </c>
      <c r="O16" s="91">
        <f>retrait3___12+retrait4___12</f>
        <v>0</v>
      </c>
      <c r="P16" s="93">
        <f>CONCATENATE(lib3___12,IF(lib4___12&lt;&gt;"",",",""),lib4___12)</f>
      </c>
      <c r="Q16" s="94">
        <f>SUM(I16:O16)</f>
        <v>0</v>
      </c>
      <c r="S16" s="95">
        <f>S15+G16-Q16-Y16+W16</f>
        <v>2000</v>
      </c>
      <c r="U16" s="90">
        <f>B16</f>
        <v>12</v>
      </c>
      <c r="W16" s="96">
        <f>'12'!E31</f>
        <v>0</v>
      </c>
      <c r="Y16" s="97">
        <f>enveloppe___12</f>
        <v>0</v>
      </c>
      <c r="Z16" s="97">
        <f>'12'!J31</f>
        <v>0</v>
      </c>
      <c r="AB16" s="98">
        <f>W16-Z16</f>
        <v>0</v>
      </c>
      <c r="IV16"/>
    </row>
    <row r="17" spans="1:256" s="20" customFormat="1" ht="12.75" customHeight="1">
      <c r="A17" s="89">
        <f>IF(G17&gt;0,"x",0)</f>
        <v>0</v>
      </c>
      <c r="B17" s="90">
        <v>13</v>
      </c>
      <c r="C17" s="20">
        <f>IF(G17&gt;0,1,0)</f>
        <v>0</v>
      </c>
      <c r="D17" s="91">
        <f>ca_6___13</f>
        <v>0</v>
      </c>
      <c r="E17" s="91">
        <f>ca_12___13</f>
        <v>0</v>
      </c>
      <c r="F17" s="91">
        <f>ca_21___13</f>
        <v>0</v>
      </c>
      <c r="G17" s="92">
        <f>SUM(D17:F17)</f>
        <v>0</v>
      </c>
      <c r="I17" s="91">
        <f>banksys___13</f>
        <v>0</v>
      </c>
      <c r="J17" s="91">
        <f>carte___13+proton___13</f>
        <v>0</v>
      </c>
      <c r="K17" s="91">
        <f>ristournes___13</f>
        <v>0</v>
      </c>
      <c r="L17" s="91"/>
      <c r="M17" s="91">
        <f>retrait1___13</f>
        <v>0</v>
      </c>
      <c r="N17" s="91">
        <f>-retrait2___13</f>
        <v>0</v>
      </c>
      <c r="O17" s="91">
        <f>retrait3___13+retrait4___13</f>
        <v>0</v>
      </c>
      <c r="P17" s="93">
        <f>CONCATENATE(lib3___13,IF(lib4___13&lt;&gt;"",",",""),lib4___13)</f>
      </c>
      <c r="Q17" s="94">
        <f>SUM(I17:O17)</f>
        <v>0</v>
      </c>
      <c r="S17" s="95">
        <f>S16+G17-Q17-Y17+W17</f>
        <v>2000</v>
      </c>
      <c r="U17" s="90">
        <f>B17</f>
        <v>13</v>
      </c>
      <c r="W17" s="96">
        <f>'13'!E31</f>
        <v>0</v>
      </c>
      <c r="Y17" s="97">
        <f>enveloppe___13</f>
        <v>0</v>
      </c>
      <c r="Z17" s="97">
        <f>'13'!J31</f>
        <v>0</v>
      </c>
      <c r="AB17" s="98">
        <f>W17-Z17</f>
        <v>0</v>
      </c>
      <c r="IV17"/>
    </row>
    <row r="18" spans="1:256" s="20" customFormat="1" ht="12.75" customHeight="1">
      <c r="A18" s="89">
        <f>IF(G18&gt;0,"x",0)</f>
        <v>0</v>
      </c>
      <c r="B18" s="90">
        <v>14</v>
      </c>
      <c r="C18" s="20">
        <f>IF(G18&gt;0,1,0)</f>
        <v>0</v>
      </c>
      <c r="D18" s="91">
        <f>ca_6___14</f>
        <v>0</v>
      </c>
      <c r="E18" s="91">
        <f>ca_12___14</f>
        <v>0</v>
      </c>
      <c r="F18" s="91">
        <f>ca_21___14</f>
        <v>0</v>
      </c>
      <c r="G18" s="92">
        <f>SUM(D18:F18)</f>
        <v>0</v>
      </c>
      <c r="I18" s="91">
        <f>banksys___14</f>
        <v>0</v>
      </c>
      <c r="J18" s="91">
        <f>carte___14+proton___14</f>
        <v>0</v>
      </c>
      <c r="K18" s="91">
        <f>ristournes___14</f>
        <v>0</v>
      </c>
      <c r="L18" s="91"/>
      <c r="M18" s="91">
        <f>retrait1___14</f>
        <v>0</v>
      </c>
      <c r="N18" s="91">
        <f>-retrait2___14</f>
        <v>0</v>
      </c>
      <c r="O18" s="91">
        <f>retrait3___14+retrait4___14</f>
        <v>0</v>
      </c>
      <c r="P18" s="93">
        <f>CONCATENATE(lib3___14,IF(lib4___14&lt;&gt;"",",",""),lib4___14)</f>
      </c>
      <c r="Q18" s="94">
        <f>SUM(I18:O18)</f>
        <v>0</v>
      </c>
      <c r="S18" s="95">
        <f>S17+G18-Q18-Y18+W18</f>
        <v>2000</v>
      </c>
      <c r="U18" s="90">
        <f>B18</f>
        <v>14</v>
      </c>
      <c r="W18" s="96">
        <f>'14'!E31</f>
        <v>0</v>
      </c>
      <c r="Y18" s="97">
        <f>enveloppe___14</f>
        <v>0</v>
      </c>
      <c r="Z18" s="97">
        <f>'14'!J31</f>
        <v>0</v>
      </c>
      <c r="AB18" s="98">
        <f>W18-Z18</f>
        <v>0</v>
      </c>
      <c r="IV18"/>
    </row>
    <row r="19" spans="1:256" s="20" customFormat="1" ht="12.75" customHeight="1">
      <c r="A19" s="89">
        <f>IF(G19&gt;0,"x",0)</f>
        <v>0</v>
      </c>
      <c r="B19" s="90">
        <v>15</v>
      </c>
      <c r="C19" s="20">
        <f>IF(G19&gt;0,1,0)</f>
        <v>0</v>
      </c>
      <c r="D19" s="91">
        <f>ca_6___15</f>
        <v>0</v>
      </c>
      <c r="E19" s="91">
        <f>ca_12___15</f>
        <v>0</v>
      </c>
      <c r="F19" s="91">
        <f>ca_21___15</f>
        <v>0</v>
      </c>
      <c r="G19" s="92">
        <f>SUM(D19:F19)</f>
        <v>0</v>
      </c>
      <c r="I19" s="91">
        <f>banksys___15</f>
        <v>0</v>
      </c>
      <c r="J19" s="91">
        <f>carte___15+proton___15</f>
        <v>0</v>
      </c>
      <c r="K19" s="91">
        <f>ristournes___15</f>
        <v>0</v>
      </c>
      <c r="L19" s="91"/>
      <c r="M19" s="91">
        <f>retrait1___15</f>
        <v>0</v>
      </c>
      <c r="N19" s="91">
        <f>-retrait2___15</f>
        <v>0</v>
      </c>
      <c r="O19" s="91">
        <f>retrait3___15+retrait4___15</f>
        <v>0</v>
      </c>
      <c r="P19" s="93">
        <f>CONCATENATE(lib3___15,IF(lib4___15&lt;&gt;"",",",""),lib4___15)</f>
      </c>
      <c r="Q19" s="94">
        <f>SUM(I19:O19)</f>
        <v>0</v>
      </c>
      <c r="S19" s="95">
        <f>S18+G19-Q19-Y19+W19</f>
        <v>2000</v>
      </c>
      <c r="U19" s="90">
        <f>B19</f>
        <v>15</v>
      </c>
      <c r="W19" s="96">
        <f>'15'!E31</f>
        <v>0</v>
      </c>
      <c r="Y19" s="97">
        <f>enveloppe___15</f>
        <v>0</v>
      </c>
      <c r="Z19" s="97">
        <f>'15'!J31</f>
        <v>0</v>
      </c>
      <c r="AB19" s="98">
        <f>W19-Z19</f>
        <v>0</v>
      </c>
      <c r="IV19"/>
    </row>
    <row r="20" spans="1:256" s="20" customFormat="1" ht="12.75" customHeight="1">
      <c r="A20" s="89">
        <f>IF(G20&gt;0,"x",0)</f>
        <v>0</v>
      </c>
      <c r="B20" s="90">
        <v>16</v>
      </c>
      <c r="C20" s="20">
        <f>IF(G20&gt;0,1,0)</f>
        <v>0</v>
      </c>
      <c r="D20" s="91">
        <f>ca_6___16</f>
        <v>0</v>
      </c>
      <c r="E20" s="91">
        <f>ca_12___16</f>
        <v>0</v>
      </c>
      <c r="F20" s="91">
        <f>ca_21___16</f>
        <v>0</v>
      </c>
      <c r="G20" s="92">
        <f>SUM(D20:F20)</f>
        <v>0</v>
      </c>
      <c r="I20" s="91">
        <f>banksys___16</f>
        <v>0</v>
      </c>
      <c r="J20" s="91">
        <f>carte___16+proton___16</f>
        <v>0</v>
      </c>
      <c r="K20" s="91">
        <f>ristournes___16</f>
        <v>0</v>
      </c>
      <c r="L20" s="91"/>
      <c r="M20" s="91">
        <f>retrait1___16</f>
        <v>0</v>
      </c>
      <c r="N20" s="91">
        <f>-retrait2___16</f>
        <v>0</v>
      </c>
      <c r="O20" s="91">
        <f>retrait3___16+retrait4___16</f>
        <v>0</v>
      </c>
      <c r="P20" s="93">
        <f>CONCATENATE(lib3___16,IF(lib4___16&lt;&gt;"",",",""),lib4___16)</f>
      </c>
      <c r="Q20" s="94">
        <f>SUM(I20:O20)</f>
        <v>0</v>
      </c>
      <c r="S20" s="95">
        <f>S19+G20-Q20-Y20+W20</f>
        <v>2000</v>
      </c>
      <c r="U20" s="90">
        <f>B20</f>
        <v>16</v>
      </c>
      <c r="W20" s="96">
        <f>'16'!E31</f>
        <v>0</v>
      </c>
      <c r="Y20" s="97">
        <f>enveloppe___16</f>
        <v>0</v>
      </c>
      <c r="Z20" s="97">
        <f>'16'!J31</f>
        <v>0</v>
      </c>
      <c r="AB20" s="98">
        <f>W20-Z20</f>
        <v>0</v>
      </c>
      <c r="IV20"/>
    </row>
    <row r="21" spans="1:256" s="20" customFormat="1" ht="12.75" customHeight="1">
      <c r="A21" s="89">
        <f>IF(G21&gt;0,"x",0)</f>
        <v>0</v>
      </c>
      <c r="B21" s="90">
        <v>17</v>
      </c>
      <c r="C21" s="20">
        <f>IF(G21&gt;0,1,0)</f>
        <v>0</v>
      </c>
      <c r="D21" s="91">
        <f>ca_6___17</f>
        <v>0</v>
      </c>
      <c r="E21" s="91">
        <f>ca_12___17</f>
        <v>0</v>
      </c>
      <c r="F21" s="91">
        <f>ca_21___17</f>
        <v>0</v>
      </c>
      <c r="G21" s="92">
        <f>SUM(D21:F21)</f>
        <v>0</v>
      </c>
      <c r="I21" s="91">
        <f>banksys___17</f>
        <v>0</v>
      </c>
      <c r="J21" s="91">
        <f>carte___17+proton___17</f>
        <v>0</v>
      </c>
      <c r="K21" s="91">
        <f>ristournes___17</f>
        <v>0</v>
      </c>
      <c r="L21" s="91"/>
      <c r="M21" s="91">
        <f>retrait1___17</f>
        <v>0</v>
      </c>
      <c r="N21" s="91">
        <f>-retrait2___17</f>
        <v>0</v>
      </c>
      <c r="O21" s="91">
        <f>retrait3___17+retrait4___17</f>
        <v>0</v>
      </c>
      <c r="P21" s="93">
        <f>CONCATENATE(lib3___17,IF(lib4___17&lt;&gt;"",",",""),lib4___17)</f>
      </c>
      <c r="Q21" s="94">
        <f>SUM(I21:O21)</f>
        <v>0</v>
      </c>
      <c r="S21" s="95">
        <f>S20+G21-Q21-Y21+W21</f>
        <v>2000</v>
      </c>
      <c r="U21" s="90">
        <f>B21</f>
        <v>17</v>
      </c>
      <c r="W21" s="96">
        <f>'17'!E31</f>
        <v>0</v>
      </c>
      <c r="Y21" s="97">
        <f>enveloppe___17</f>
        <v>0</v>
      </c>
      <c r="Z21" s="97">
        <f>'17'!J31</f>
        <v>0</v>
      </c>
      <c r="AB21" s="98">
        <f>W21-Z21</f>
        <v>0</v>
      </c>
      <c r="IV21"/>
    </row>
    <row r="22" spans="1:256" s="20" customFormat="1" ht="12.75" customHeight="1">
      <c r="A22" s="89">
        <f>IF(G22&gt;0,"x",0)</f>
        <v>0</v>
      </c>
      <c r="B22" s="90">
        <v>18</v>
      </c>
      <c r="C22" s="20">
        <f>IF(G22&gt;0,1,0)</f>
        <v>0</v>
      </c>
      <c r="D22" s="91">
        <f>ca_6___18</f>
        <v>0</v>
      </c>
      <c r="E22" s="91">
        <f>ca_12___18</f>
        <v>0</v>
      </c>
      <c r="F22" s="91">
        <f>ca_21___18</f>
        <v>0</v>
      </c>
      <c r="G22" s="92">
        <f>SUM(D22:F22)</f>
        <v>0</v>
      </c>
      <c r="I22" s="91">
        <f>banksys___18</f>
        <v>0</v>
      </c>
      <c r="J22" s="91">
        <f>carte___18+proton___18</f>
        <v>0</v>
      </c>
      <c r="K22" s="91">
        <f>ristournes___18</f>
        <v>0</v>
      </c>
      <c r="L22" s="91"/>
      <c r="M22" s="91">
        <f>retrait1___18</f>
        <v>0</v>
      </c>
      <c r="N22" s="91">
        <f>-retrait2___18</f>
        <v>0</v>
      </c>
      <c r="O22" s="91">
        <f>retrait3___18+retrait4___18</f>
        <v>0</v>
      </c>
      <c r="P22" s="93">
        <f>CONCATENATE(lib3___18,IF(lib4___18&lt;&gt;"",",",""),lib4___18)</f>
      </c>
      <c r="Q22" s="94">
        <f>SUM(I22:O22)</f>
        <v>0</v>
      </c>
      <c r="S22" s="95">
        <f>S21+G22-Q22-Y22+W22</f>
        <v>2000</v>
      </c>
      <c r="U22" s="90">
        <f>B22</f>
        <v>18</v>
      </c>
      <c r="W22" s="96">
        <f>'18'!E31</f>
        <v>0</v>
      </c>
      <c r="Y22" s="97">
        <f>enveloppe___18</f>
        <v>0</v>
      </c>
      <c r="Z22" s="97">
        <f>'18'!J31</f>
        <v>0</v>
      </c>
      <c r="AB22" s="98">
        <f>W22-Z22</f>
        <v>0</v>
      </c>
      <c r="IV22"/>
    </row>
    <row r="23" spans="1:256" s="20" customFormat="1" ht="12.75" customHeight="1">
      <c r="A23" s="89">
        <f>IF(G23&gt;0,"x",0)</f>
        <v>0</v>
      </c>
      <c r="B23" s="90">
        <v>19</v>
      </c>
      <c r="C23" s="20">
        <f>IF(G23&gt;0,1,0)</f>
        <v>0</v>
      </c>
      <c r="D23" s="91">
        <f>ca_6___19</f>
        <v>0</v>
      </c>
      <c r="E23" s="91">
        <f>ca_12___19</f>
        <v>0</v>
      </c>
      <c r="F23" s="91">
        <f>ca_21___19</f>
        <v>0</v>
      </c>
      <c r="G23" s="92">
        <f>SUM(D23:F23)</f>
        <v>0</v>
      </c>
      <c r="I23" s="91">
        <f>banksys___19</f>
        <v>0</v>
      </c>
      <c r="J23" s="91">
        <f>carte___19+proton___19</f>
        <v>0</v>
      </c>
      <c r="K23" s="91">
        <f>ristournes___19</f>
        <v>0</v>
      </c>
      <c r="L23" s="91"/>
      <c r="M23" s="91">
        <f>retrait1___19</f>
        <v>0</v>
      </c>
      <c r="N23" s="91">
        <f>-retrait2___19</f>
        <v>0</v>
      </c>
      <c r="O23" s="91">
        <f>retrait3___19+retrait4___19</f>
        <v>0</v>
      </c>
      <c r="P23" s="93">
        <f>CONCATENATE(lib3___19,IF(lib4___19&lt;&gt;"",",",""),lib4___19)</f>
      </c>
      <c r="Q23" s="94">
        <f>SUM(I23:O23)</f>
        <v>0</v>
      </c>
      <c r="S23" s="95">
        <f>S22+G23-Q23-Y23+W23</f>
        <v>2000</v>
      </c>
      <c r="U23" s="90">
        <f>B23</f>
        <v>19</v>
      </c>
      <c r="W23" s="96">
        <f>'19'!E31</f>
        <v>0</v>
      </c>
      <c r="Y23" s="97">
        <f>enveloppe___19</f>
        <v>0</v>
      </c>
      <c r="Z23" s="97">
        <f>'19'!J31</f>
        <v>0</v>
      </c>
      <c r="AB23" s="98">
        <f>W23-Z23</f>
        <v>0</v>
      </c>
      <c r="IV23"/>
    </row>
    <row r="24" spans="1:256" s="20" customFormat="1" ht="12.75" customHeight="1">
      <c r="A24" s="89">
        <f>IF(G24&gt;0,"x",0)</f>
        <v>0</v>
      </c>
      <c r="B24" s="90">
        <v>20</v>
      </c>
      <c r="C24" s="20">
        <f>IF(G24&gt;0,1,0)</f>
        <v>0</v>
      </c>
      <c r="D24" s="91">
        <f>ca_6___20</f>
        <v>0</v>
      </c>
      <c r="E24" s="91">
        <f>ca_12___20</f>
        <v>0</v>
      </c>
      <c r="F24" s="91">
        <f>ca_21___20</f>
        <v>0</v>
      </c>
      <c r="G24" s="92">
        <f>SUM(D24:F24)</f>
        <v>0</v>
      </c>
      <c r="I24" s="91">
        <f>banksys___20</f>
        <v>0</v>
      </c>
      <c r="J24" s="91">
        <f>carte___20+proton___20</f>
        <v>0</v>
      </c>
      <c r="K24" s="91">
        <f>ristournes___20</f>
        <v>0</v>
      </c>
      <c r="L24" s="91"/>
      <c r="M24" s="91">
        <f>retrait1___20</f>
        <v>0</v>
      </c>
      <c r="N24" s="91">
        <f>-retrait2___20</f>
        <v>0</v>
      </c>
      <c r="O24" s="91">
        <f>retrait3___20+retrait4___20</f>
        <v>0</v>
      </c>
      <c r="P24" s="93">
        <f>CONCATENATE(lib3___20,IF(lib4___20&lt;&gt;"",",",""),lib4___20)</f>
      </c>
      <c r="Q24" s="94">
        <f>SUM(I24:O24)</f>
        <v>0</v>
      </c>
      <c r="S24" s="95">
        <f>S23+G24-Q24-Y24+W24</f>
        <v>2000</v>
      </c>
      <c r="U24" s="90">
        <f>B24</f>
        <v>20</v>
      </c>
      <c r="W24" s="96">
        <f>'20'!E31</f>
        <v>0</v>
      </c>
      <c r="Y24" s="97">
        <f>enveloppe___20</f>
        <v>0</v>
      </c>
      <c r="Z24" s="97">
        <f>'20'!J31</f>
        <v>0</v>
      </c>
      <c r="AB24" s="98">
        <f>W24-Z24</f>
        <v>0</v>
      </c>
      <c r="IV24"/>
    </row>
    <row r="25" spans="1:256" s="20" customFormat="1" ht="12.75" customHeight="1">
      <c r="A25" s="89">
        <f>IF(G25&gt;0,"x",0)</f>
        <v>0</v>
      </c>
      <c r="B25" s="90">
        <v>21</v>
      </c>
      <c r="C25" s="20">
        <f>IF(G25&gt;0,1,0)</f>
        <v>0</v>
      </c>
      <c r="D25" s="91">
        <f>ca_6___21</f>
        <v>0</v>
      </c>
      <c r="E25" s="91">
        <f>ca_12___21</f>
        <v>0</v>
      </c>
      <c r="F25" s="91">
        <f>ca_21___21</f>
        <v>0</v>
      </c>
      <c r="G25" s="92">
        <f>SUM(D25:F25)</f>
        <v>0</v>
      </c>
      <c r="I25" s="91">
        <f>banksys___21</f>
        <v>0</v>
      </c>
      <c r="J25" s="91">
        <f>carte___21+proton___21</f>
        <v>0</v>
      </c>
      <c r="K25" s="91">
        <f>ristournes___21</f>
        <v>0</v>
      </c>
      <c r="L25" s="91"/>
      <c r="M25" s="91">
        <f>retrait1___21</f>
        <v>0</v>
      </c>
      <c r="N25" s="91">
        <f>-retrait2___21</f>
        <v>0</v>
      </c>
      <c r="O25" s="91">
        <f>retrait3___21+retrait4___21</f>
        <v>0</v>
      </c>
      <c r="P25" s="93">
        <f>CONCATENATE(lib3___21,IF(lib4___21&lt;&gt;"",",",""),lib4___21)</f>
      </c>
      <c r="Q25" s="94">
        <f>SUM(I25:O25)</f>
        <v>0</v>
      </c>
      <c r="S25" s="95">
        <f>S24+G25-Q25-Y25+W25</f>
        <v>2000</v>
      </c>
      <c r="U25" s="90">
        <f>B25</f>
        <v>21</v>
      </c>
      <c r="W25" s="96">
        <f>'21'!E31</f>
        <v>0</v>
      </c>
      <c r="Y25" s="97">
        <f>enveloppe___21</f>
        <v>0</v>
      </c>
      <c r="Z25" s="97">
        <f>'21'!J31</f>
        <v>0</v>
      </c>
      <c r="AB25" s="98">
        <f>W25-Z25</f>
        <v>0</v>
      </c>
      <c r="IV25"/>
    </row>
    <row r="26" spans="1:256" s="20" customFormat="1" ht="12.75" customHeight="1">
      <c r="A26" s="89">
        <f>IF(G26&gt;0,"x",0)</f>
        <v>0</v>
      </c>
      <c r="B26" s="90">
        <v>22</v>
      </c>
      <c r="C26" s="20">
        <f>IF(G26&gt;0,1,0)</f>
        <v>0</v>
      </c>
      <c r="D26" s="91">
        <f>ca_6___22</f>
        <v>0</v>
      </c>
      <c r="E26" s="91">
        <f>ca_12___22</f>
        <v>0</v>
      </c>
      <c r="F26" s="91">
        <f>ca_21___22</f>
        <v>0</v>
      </c>
      <c r="G26" s="92">
        <f>SUM(D26:F26)</f>
        <v>0</v>
      </c>
      <c r="I26" s="91">
        <f>banksys___22</f>
        <v>0</v>
      </c>
      <c r="J26" s="91">
        <f>carte___22+proton___22</f>
        <v>0</v>
      </c>
      <c r="K26" s="91">
        <f>ristournes___22</f>
        <v>0</v>
      </c>
      <c r="L26" s="91"/>
      <c r="M26" s="91">
        <f>retrait1___22</f>
        <v>0</v>
      </c>
      <c r="N26" s="91">
        <f>-retrait2___22</f>
        <v>0</v>
      </c>
      <c r="O26" s="91">
        <f>retrait3___22+retrait4___22</f>
        <v>0</v>
      </c>
      <c r="P26" s="93">
        <f>CONCATENATE(lib3___22,IF(lib4___22&lt;&gt;"",",",""),lib4___22)</f>
      </c>
      <c r="Q26" s="94">
        <f>SUM(I26:O26)</f>
        <v>0</v>
      </c>
      <c r="S26" s="95">
        <f>S25+G26-Q26-Y26+W26</f>
        <v>2000</v>
      </c>
      <c r="U26" s="90">
        <f>B26</f>
        <v>22</v>
      </c>
      <c r="W26" s="96">
        <f>'22'!E31</f>
        <v>0</v>
      </c>
      <c r="Y26" s="97">
        <f>enveloppe___22</f>
        <v>0</v>
      </c>
      <c r="Z26" s="97">
        <f>'22'!J31</f>
        <v>0</v>
      </c>
      <c r="AB26" s="98">
        <f>W26-Z26</f>
        <v>0</v>
      </c>
      <c r="IV26"/>
    </row>
    <row r="27" spans="1:256" s="20" customFormat="1" ht="12.75" customHeight="1">
      <c r="A27" s="89">
        <f>IF(G27&gt;0,"x",0)</f>
        <v>0</v>
      </c>
      <c r="B27" s="90">
        <v>23</v>
      </c>
      <c r="C27" s="20">
        <f>IF(G27&gt;0,1,0)</f>
        <v>0</v>
      </c>
      <c r="D27" s="91">
        <f>ca_6___23</f>
        <v>0</v>
      </c>
      <c r="E27" s="91">
        <f>ca_12___23</f>
        <v>0</v>
      </c>
      <c r="F27" s="91">
        <f>ca_21___23</f>
        <v>0</v>
      </c>
      <c r="G27" s="92">
        <f>SUM(D27:F27)</f>
        <v>0</v>
      </c>
      <c r="I27" s="91">
        <f>banksys___23</f>
        <v>0</v>
      </c>
      <c r="J27" s="91">
        <f>carte___23+proton___23</f>
        <v>0</v>
      </c>
      <c r="K27" s="91">
        <f>ristournes___23</f>
        <v>0</v>
      </c>
      <c r="L27" s="91"/>
      <c r="M27" s="91">
        <f>retrait1___23</f>
        <v>0</v>
      </c>
      <c r="N27" s="91">
        <f>-retrait2___23</f>
        <v>0</v>
      </c>
      <c r="O27" s="91">
        <f>retrait3___23+retrait4___23</f>
        <v>0</v>
      </c>
      <c r="P27" s="93">
        <f>CONCATENATE(lib3___23,IF(lib4___23&lt;&gt;"",",",""),lib4___23)</f>
      </c>
      <c r="Q27" s="94">
        <f>SUM(I27:O27)</f>
        <v>0</v>
      </c>
      <c r="S27" s="95">
        <f>S26+G27-Q27-Y27+W27</f>
        <v>2000</v>
      </c>
      <c r="U27" s="90">
        <f>B27</f>
        <v>23</v>
      </c>
      <c r="W27" s="96">
        <f>'23'!E31</f>
        <v>0</v>
      </c>
      <c r="Y27" s="97">
        <f>enveloppe___23</f>
        <v>0</v>
      </c>
      <c r="Z27" s="97">
        <f>'23'!J31</f>
        <v>0</v>
      </c>
      <c r="AB27" s="98">
        <f>W27-Z27</f>
        <v>0</v>
      </c>
      <c r="IV27"/>
    </row>
    <row r="28" spans="1:256" s="20" customFormat="1" ht="12.75" customHeight="1">
      <c r="A28" s="89">
        <f>IF(G28&gt;0,"x",0)</f>
        <v>0</v>
      </c>
      <c r="B28" s="90">
        <v>24</v>
      </c>
      <c r="C28" s="20">
        <f>IF(G28&gt;0,1,0)</f>
        <v>0</v>
      </c>
      <c r="D28" s="91">
        <f>ca_6___24</f>
        <v>0</v>
      </c>
      <c r="E28" s="91">
        <f>ca_12___24</f>
        <v>0</v>
      </c>
      <c r="F28" s="91">
        <f>ca_21___24</f>
        <v>0</v>
      </c>
      <c r="G28" s="92">
        <f>SUM(D28:F28)</f>
        <v>0</v>
      </c>
      <c r="I28" s="91">
        <f>banksys___24</f>
        <v>0</v>
      </c>
      <c r="J28" s="91">
        <f>carte___24+proton___24</f>
        <v>0</v>
      </c>
      <c r="K28" s="91">
        <f>ristournes___24</f>
        <v>0</v>
      </c>
      <c r="L28" s="91"/>
      <c r="M28" s="91">
        <f>retrait1___24</f>
        <v>0</v>
      </c>
      <c r="N28" s="91">
        <f>-retrait2___24</f>
        <v>0</v>
      </c>
      <c r="O28" s="91">
        <f>retrait3___24+retrait4___24</f>
        <v>0</v>
      </c>
      <c r="P28" s="93">
        <f>CONCATENATE(lib3___24,IF(lib4___24&lt;&gt;"",",",""),lib4___24)</f>
      </c>
      <c r="Q28" s="94">
        <f>SUM(I28:O28)</f>
        <v>0</v>
      </c>
      <c r="S28" s="95">
        <f>S27+G28-Q28-Y28+W28</f>
        <v>2000</v>
      </c>
      <c r="U28" s="90">
        <f>B28</f>
        <v>24</v>
      </c>
      <c r="W28" s="96">
        <f>'24'!E31</f>
        <v>0</v>
      </c>
      <c r="Y28" s="97">
        <f>enveloppe___24</f>
        <v>0</v>
      </c>
      <c r="Z28" s="97">
        <f>'24'!J31</f>
        <v>0</v>
      </c>
      <c r="AB28" s="98">
        <f>W28-Z28</f>
        <v>0</v>
      </c>
      <c r="IV28"/>
    </row>
    <row r="29" spans="1:256" s="20" customFormat="1" ht="12.75" customHeight="1">
      <c r="A29" s="89">
        <f>IF(G29&gt;0,"x",0)</f>
        <v>0</v>
      </c>
      <c r="B29" s="90">
        <v>25</v>
      </c>
      <c r="C29" s="20">
        <f>IF(G29&gt;0,1,0)</f>
        <v>0</v>
      </c>
      <c r="D29" s="91">
        <f>ca_6___25</f>
        <v>0</v>
      </c>
      <c r="E29" s="91">
        <f>ca_12___25</f>
        <v>0</v>
      </c>
      <c r="F29" s="91">
        <f>ca_21___25</f>
        <v>0</v>
      </c>
      <c r="G29" s="92">
        <f>SUM(D29:F29)</f>
        <v>0</v>
      </c>
      <c r="I29" s="91">
        <f>banksys___25</f>
        <v>0</v>
      </c>
      <c r="J29" s="91">
        <f>carte___25+proton___25</f>
        <v>0</v>
      </c>
      <c r="K29" s="91">
        <f>ristournes___25</f>
        <v>0</v>
      </c>
      <c r="L29" s="91"/>
      <c r="M29" s="91">
        <f>retrait1___25</f>
        <v>0</v>
      </c>
      <c r="N29" s="91">
        <f>-retrait2___25</f>
        <v>0</v>
      </c>
      <c r="O29" s="91">
        <f>retrait3___25+retrait4___25</f>
        <v>0</v>
      </c>
      <c r="P29" s="93">
        <f>CONCATENATE(lib3___25,IF(lib4___25&lt;&gt;"",",",""),lib4___25)</f>
      </c>
      <c r="Q29" s="94">
        <f>SUM(I29:O29)</f>
        <v>0</v>
      </c>
      <c r="S29" s="95">
        <f>S28+G29-Q29-Y29+W29</f>
        <v>2000</v>
      </c>
      <c r="U29" s="90">
        <f>B29</f>
        <v>25</v>
      </c>
      <c r="W29" s="96">
        <f>'25'!E31</f>
        <v>0</v>
      </c>
      <c r="Y29" s="97">
        <f>enveloppe___25</f>
        <v>0</v>
      </c>
      <c r="Z29" s="97">
        <f>'25'!J31</f>
        <v>0</v>
      </c>
      <c r="AB29" s="98">
        <f>W29-Z29</f>
        <v>0</v>
      </c>
      <c r="IV29"/>
    </row>
    <row r="30" spans="1:256" s="20" customFormat="1" ht="12.75" customHeight="1">
      <c r="A30" s="89">
        <f>IF(G30&gt;0,"x",0)</f>
        <v>0</v>
      </c>
      <c r="B30" s="90">
        <v>26</v>
      </c>
      <c r="C30" s="20">
        <f>IF(G30&gt;0,1,0)</f>
        <v>0</v>
      </c>
      <c r="D30" s="91">
        <f>ca_6___26</f>
        <v>0</v>
      </c>
      <c r="E30" s="91">
        <f>ca_12___26</f>
        <v>0</v>
      </c>
      <c r="F30" s="91">
        <f>ca_21___26</f>
        <v>0</v>
      </c>
      <c r="G30" s="92">
        <f>SUM(D30:F30)</f>
        <v>0</v>
      </c>
      <c r="I30" s="91">
        <f>banksys___26</f>
        <v>0</v>
      </c>
      <c r="J30" s="91">
        <f>carte___26+proton___26</f>
        <v>0</v>
      </c>
      <c r="K30" s="91">
        <f>ristournes___26</f>
        <v>0</v>
      </c>
      <c r="L30" s="91"/>
      <c r="M30" s="91">
        <f>retrait1___26</f>
        <v>0</v>
      </c>
      <c r="N30" s="91">
        <f>-retrait2___26</f>
        <v>0</v>
      </c>
      <c r="O30" s="91">
        <f>retrait3___26+retrait4___26</f>
        <v>0</v>
      </c>
      <c r="P30" s="93">
        <f>CONCATENATE(lib3___26,IF(lib4___26&lt;&gt;"",",",""),lib4___26)</f>
      </c>
      <c r="Q30" s="94">
        <f>SUM(I30:O30)</f>
        <v>0</v>
      </c>
      <c r="S30" s="95">
        <f>S29+G30-Q30-Y30+W30</f>
        <v>2000</v>
      </c>
      <c r="U30" s="90">
        <f>B30</f>
        <v>26</v>
      </c>
      <c r="W30" s="96">
        <f>'26'!E31</f>
        <v>0</v>
      </c>
      <c r="Y30" s="97">
        <f>enveloppe___26</f>
        <v>0</v>
      </c>
      <c r="Z30" s="97">
        <f>'26'!J31</f>
        <v>0</v>
      </c>
      <c r="AB30" s="98">
        <f>W30-Z30</f>
        <v>0</v>
      </c>
      <c r="IV30"/>
    </row>
    <row r="31" spans="1:256" s="20" customFormat="1" ht="12.75" customHeight="1">
      <c r="A31" s="89">
        <f>IF(G31&gt;0,"x",0)</f>
        <v>0</v>
      </c>
      <c r="B31" s="90">
        <v>27</v>
      </c>
      <c r="C31" s="20">
        <f>IF(G31&gt;0,1,0)</f>
        <v>0</v>
      </c>
      <c r="D31" s="91">
        <f>ca_6___27</f>
        <v>0</v>
      </c>
      <c r="E31" s="91">
        <f>ca_12___27</f>
        <v>0</v>
      </c>
      <c r="F31" s="91">
        <f>ca_21___27</f>
        <v>0</v>
      </c>
      <c r="G31" s="92">
        <f>SUM(D31:F31)</f>
        <v>0</v>
      </c>
      <c r="I31" s="91">
        <f>banksys___27</f>
        <v>0</v>
      </c>
      <c r="J31" s="91">
        <f>carte___27+proton___27</f>
        <v>0</v>
      </c>
      <c r="K31" s="91">
        <f>ristournes___27</f>
        <v>0</v>
      </c>
      <c r="L31" s="91"/>
      <c r="M31" s="91">
        <f>retrait1___27</f>
        <v>0</v>
      </c>
      <c r="N31" s="91">
        <f>-retrait2___27</f>
        <v>0</v>
      </c>
      <c r="O31" s="91">
        <f>retrait3___27+retrait4___27</f>
        <v>0</v>
      </c>
      <c r="P31" s="93">
        <f>CONCATENATE(lib3___27,IF(lib4___27&lt;&gt;"",",",""),lib4___27)</f>
      </c>
      <c r="Q31" s="94">
        <f>SUM(I31:O31)</f>
        <v>0</v>
      </c>
      <c r="S31" s="95">
        <f>S30+G31-Q31-Y31+W31</f>
        <v>2000</v>
      </c>
      <c r="U31" s="90">
        <f>B31</f>
        <v>27</v>
      </c>
      <c r="W31" s="96">
        <f>'27'!E31</f>
        <v>0</v>
      </c>
      <c r="Y31" s="97">
        <f>enveloppe___27</f>
        <v>0</v>
      </c>
      <c r="Z31" s="97">
        <f>'27'!J31</f>
        <v>0</v>
      </c>
      <c r="AB31" s="98">
        <f>W31-Z31</f>
        <v>0</v>
      </c>
      <c r="IV31"/>
    </row>
    <row r="32" spans="1:256" s="20" customFormat="1" ht="12.75" customHeight="1">
      <c r="A32" s="89">
        <f>IF(G32&gt;0,"x",0)</f>
        <v>0</v>
      </c>
      <c r="B32" s="90">
        <v>28</v>
      </c>
      <c r="C32" s="20">
        <f>IF(G32&gt;0,1,0)</f>
        <v>0</v>
      </c>
      <c r="D32" s="91">
        <f>ca_6___28</f>
        <v>0</v>
      </c>
      <c r="E32" s="91">
        <f>ca_12___28</f>
        <v>0</v>
      </c>
      <c r="F32" s="91">
        <f>ca_21___28</f>
        <v>0</v>
      </c>
      <c r="G32" s="92">
        <f>SUM(D32:F32)</f>
        <v>0</v>
      </c>
      <c r="I32" s="91">
        <f>banksys___28</f>
        <v>0</v>
      </c>
      <c r="J32" s="91">
        <f>carte___28+proton___28</f>
        <v>0</v>
      </c>
      <c r="K32" s="91">
        <f>ristournes___28</f>
        <v>0</v>
      </c>
      <c r="L32" s="91"/>
      <c r="M32" s="91">
        <f>retrait1___28</f>
        <v>0</v>
      </c>
      <c r="N32" s="91">
        <f>-retrait2___28</f>
        <v>0</v>
      </c>
      <c r="O32" s="91">
        <f>retrait3___28+retrait4___28</f>
        <v>0</v>
      </c>
      <c r="P32" s="93">
        <f>CONCATENATE(lib3___28,IF(lib4___28&lt;&gt;"",",",""),lib4___28)</f>
      </c>
      <c r="Q32" s="94">
        <f>SUM(I32:O32)</f>
        <v>0</v>
      </c>
      <c r="S32" s="95">
        <f>S31+G32-Q32-Y32+W32</f>
        <v>2000</v>
      </c>
      <c r="U32" s="90">
        <f>B32</f>
        <v>28</v>
      </c>
      <c r="W32" s="96">
        <f>'28'!E31</f>
        <v>0</v>
      </c>
      <c r="Y32" s="97">
        <f>enveloppe___28</f>
        <v>0</v>
      </c>
      <c r="Z32" s="97">
        <f>'28'!J31</f>
        <v>0</v>
      </c>
      <c r="AB32" s="98">
        <f>W32-Z32</f>
        <v>0</v>
      </c>
      <c r="IV32"/>
    </row>
    <row r="33" spans="1:256" s="20" customFormat="1" ht="12.75" customHeight="1">
      <c r="A33" s="89">
        <f>IF(G33&gt;0,"x",0)</f>
        <v>0</v>
      </c>
      <c r="B33" s="90">
        <v>29</v>
      </c>
      <c r="C33" s="20">
        <f>IF(G33&gt;0,1,0)</f>
        <v>0</v>
      </c>
      <c r="D33" s="91">
        <f>ca_6___29</f>
        <v>0</v>
      </c>
      <c r="E33" s="91">
        <f>ca_12___29</f>
        <v>0</v>
      </c>
      <c r="F33" s="91">
        <f>ca_21___29</f>
        <v>0</v>
      </c>
      <c r="G33" s="92">
        <f>SUM(D33:F33)</f>
        <v>0</v>
      </c>
      <c r="I33" s="91">
        <f>banksys___29</f>
        <v>0</v>
      </c>
      <c r="J33" s="91">
        <f>carte___29+proton___29</f>
        <v>0</v>
      </c>
      <c r="K33" s="91">
        <f>ristournes___29</f>
        <v>0</v>
      </c>
      <c r="L33" s="91"/>
      <c r="M33" s="91">
        <f>retrait1___29</f>
        <v>0</v>
      </c>
      <c r="N33" s="91">
        <f>-retrait2___29</f>
        <v>0</v>
      </c>
      <c r="O33" s="91">
        <f>retrait3___29+retrait4___29</f>
        <v>0</v>
      </c>
      <c r="P33" s="93">
        <f>CONCATENATE(lib3___29,IF(lib4___29&lt;&gt;"",",",""),lib4___29)</f>
      </c>
      <c r="Q33" s="94">
        <f>SUM(I33:O33)</f>
        <v>0</v>
      </c>
      <c r="S33" s="95">
        <f>S32+G33-Q33-Y33+W33</f>
        <v>2000</v>
      </c>
      <c r="U33" s="90">
        <f>B33</f>
        <v>29</v>
      </c>
      <c r="W33" s="96">
        <f>'29'!E31</f>
        <v>0</v>
      </c>
      <c r="Y33" s="97">
        <f>enveloppe___29</f>
        <v>0</v>
      </c>
      <c r="Z33" s="97">
        <f>'29'!J31</f>
        <v>0</v>
      </c>
      <c r="AB33" s="98">
        <f>W33-Z33</f>
        <v>0</v>
      </c>
      <c r="IV33"/>
    </row>
    <row r="34" spans="1:256" s="20" customFormat="1" ht="12.75" customHeight="1">
      <c r="A34" s="89">
        <f>IF(G34&gt;0,"x",0)</f>
        <v>0</v>
      </c>
      <c r="B34" s="90">
        <v>30</v>
      </c>
      <c r="C34" s="20">
        <f>IF(G34&gt;0,1,0)</f>
        <v>0</v>
      </c>
      <c r="D34" s="91">
        <f>ca_6___30</f>
        <v>0</v>
      </c>
      <c r="E34" s="91">
        <f>ca_12___30</f>
        <v>0</v>
      </c>
      <c r="F34" s="91">
        <f>ca_21___30</f>
        <v>0</v>
      </c>
      <c r="G34" s="92">
        <f>SUM(D34:F34)</f>
        <v>0</v>
      </c>
      <c r="I34" s="91">
        <f>banksys___30</f>
        <v>0</v>
      </c>
      <c r="J34" s="91">
        <f>carte___30+proton___30</f>
        <v>0</v>
      </c>
      <c r="K34" s="91">
        <f>ristournes___30</f>
        <v>0</v>
      </c>
      <c r="L34" s="91"/>
      <c r="M34" s="91">
        <f>retrait1___30</f>
        <v>0</v>
      </c>
      <c r="N34" s="91">
        <f>-retrait2___30</f>
        <v>0</v>
      </c>
      <c r="O34" s="91">
        <f>retrait3___30+retrait4___30</f>
        <v>0</v>
      </c>
      <c r="P34" s="93">
        <f>CONCATENATE(lib3___30,IF(lib4___30&lt;&gt;"",",",""),lib4___30)</f>
      </c>
      <c r="Q34" s="94">
        <f>SUM(I34:O34)</f>
        <v>0</v>
      </c>
      <c r="S34" s="95">
        <f>S33+G34-Q34-Y34+W34</f>
        <v>2000</v>
      </c>
      <c r="U34" s="90">
        <f>B34</f>
        <v>30</v>
      </c>
      <c r="W34" s="96">
        <f>'30'!E31</f>
        <v>0</v>
      </c>
      <c r="Y34" s="97">
        <f>enveloppe___30</f>
        <v>0</v>
      </c>
      <c r="Z34" s="97">
        <f>'30'!J31</f>
        <v>0</v>
      </c>
      <c r="AB34" s="98">
        <f>W34-Z34</f>
        <v>0</v>
      </c>
      <c r="IV34"/>
    </row>
    <row r="35" spans="1:256" s="20" customFormat="1" ht="12.75" customHeight="1">
      <c r="A35" s="89">
        <f>IF(G35&gt;0,"x",0)</f>
        <v>0</v>
      </c>
      <c r="B35" s="90">
        <v>31</v>
      </c>
      <c r="C35" s="20">
        <f>IF(G35&gt;0,1,0)</f>
        <v>0</v>
      </c>
      <c r="D35" s="91">
        <f>ca_6___31</f>
        <v>0</v>
      </c>
      <c r="E35" s="91">
        <f>ca_12___31</f>
        <v>0</v>
      </c>
      <c r="F35" s="91">
        <f>ca_21___31</f>
        <v>0</v>
      </c>
      <c r="G35" s="92">
        <f>SUM(D35:F35)</f>
        <v>0</v>
      </c>
      <c r="I35" s="91">
        <f>banksys___31</f>
        <v>0</v>
      </c>
      <c r="J35" s="91">
        <f>carte___31+proton___31</f>
        <v>0</v>
      </c>
      <c r="K35" s="91">
        <f>ristournes___31</f>
        <v>0</v>
      </c>
      <c r="L35" s="91"/>
      <c r="M35" s="91">
        <f>retrait1___31</f>
        <v>0</v>
      </c>
      <c r="N35" s="91">
        <f>-retrait2___31</f>
        <v>0</v>
      </c>
      <c r="O35" s="91">
        <f>retrait3___31+retrait4___31</f>
        <v>0</v>
      </c>
      <c r="P35" s="93">
        <f>CONCATENATE(lib3___31,IF(lib4___31&lt;&gt;"",",",""),lib4___31)</f>
      </c>
      <c r="Q35" s="94">
        <f>SUM(I35:O35)</f>
        <v>0</v>
      </c>
      <c r="S35" s="95">
        <f>S34+G35-Q35-Y35+W35</f>
        <v>2000</v>
      </c>
      <c r="U35" s="90">
        <f>B35</f>
        <v>31</v>
      </c>
      <c r="W35" s="96">
        <f>'31'!E31</f>
        <v>0</v>
      </c>
      <c r="Y35" s="97">
        <f>enveloppe___31</f>
        <v>0</v>
      </c>
      <c r="Z35" s="97">
        <f>'31'!J31</f>
        <v>0</v>
      </c>
      <c r="AB35" s="98">
        <f>W35-Z35</f>
        <v>0</v>
      </c>
      <c r="IV35"/>
    </row>
    <row r="36" spans="1:256" s="20" customFormat="1" ht="12.75" customHeight="1">
      <c r="A36" s="89">
        <f>IF(G36&gt;0,"x",0)</f>
        <v>0</v>
      </c>
      <c r="B36" s="90"/>
      <c r="C36" s="20">
        <f>IF(G36&gt;0,1,0)</f>
        <v>0</v>
      </c>
      <c r="D36" s="91"/>
      <c r="E36" s="91"/>
      <c r="F36" s="91"/>
      <c r="G36" s="92">
        <f>SUM(D36:F36)</f>
        <v>0</v>
      </c>
      <c r="I36" s="91"/>
      <c r="J36" s="91"/>
      <c r="K36" s="91"/>
      <c r="L36" s="91"/>
      <c r="M36" s="91"/>
      <c r="N36" s="91"/>
      <c r="O36" s="91"/>
      <c r="P36" s="93"/>
      <c r="Q36" s="94">
        <f>SUM(I36:O36)</f>
        <v>0</v>
      </c>
      <c r="S36" s="95">
        <f>S35+G36-Q36-Y36+W36</f>
        <v>2000</v>
      </c>
      <c r="U36" s="90">
        <f>B36</f>
        <v>0</v>
      </c>
      <c r="W36" s="96"/>
      <c r="Y36" s="97"/>
      <c r="Z36" s="97"/>
      <c r="AB36" s="99"/>
      <c r="IV36"/>
    </row>
    <row r="37" spans="1:256" s="20" customFormat="1" ht="12.75" customHeight="1">
      <c r="A37" s="89">
        <f>IF(G37&gt;0,"x",0)</f>
        <v>0</v>
      </c>
      <c r="B37" s="90"/>
      <c r="C37" s="20">
        <f>IF(G37&gt;0,1,0)</f>
        <v>0</v>
      </c>
      <c r="D37" s="91"/>
      <c r="E37" s="91"/>
      <c r="F37" s="91"/>
      <c r="G37" s="92">
        <f>SUM(D37:F37)</f>
        <v>0</v>
      </c>
      <c r="I37" s="91"/>
      <c r="J37" s="91"/>
      <c r="K37" s="91"/>
      <c r="L37" s="91"/>
      <c r="M37" s="91"/>
      <c r="N37" s="91"/>
      <c r="O37" s="91"/>
      <c r="P37" s="93"/>
      <c r="Q37" s="94">
        <f>SUM(I37:O37)</f>
        <v>0</v>
      </c>
      <c r="S37" s="95">
        <f>S36+G37-Q37-Y37+W37</f>
        <v>2000</v>
      </c>
      <c r="U37" s="90">
        <f>B37</f>
        <v>0</v>
      </c>
      <c r="W37" s="96"/>
      <c r="Y37" s="97"/>
      <c r="Z37" s="97"/>
      <c r="AB37" s="99"/>
      <c r="IV37"/>
    </row>
    <row r="38" spans="1:256" s="20" customFormat="1" ht="6.75" customHeight="1">
      <c r="A38" s="100"/>
      <c r="B38" s="101"/>
      <c r="D38" s="102"/>
      <c r="E38" s="102"/>
      <c r="F38" s="102"/>
      <c r="G38" s="103"/>
      <c r="I38" s="102"/>
      <c r="J38" s="104"/>
      <c r="K38" s="104"/>
      <c r="L38" s="104"/>
      <c r="M38" s="104"/>
      <c r="N38" s="104"/>
      <c r="O38" s="102"/>
      <c r="P38" s="102"/>
      <c r="Q38" s="105"/>
      <c r="S38" s="106"/>
      <c r="U38" s="101"/>
      <c r="W38" s="107"/>
      <c r="Y38" s="108"/>
      <c r="Z38" s="108"/>
      <c r="AB38" s="109"/>
      <c r="IV38"/>
    </row>
    <row r="39" spans="1:256" s="20" customFormat="1" ht="6.75" customHeight="1">
      <c r="A39" s="55"/>
      <c r="B39" s="110"/>
      <c r="D39" s="77"/>
      <c r="E39" s="77"/>
      <c r="F39" s="77"/>
      <c r="G39" s="77"/>
      <c r="I39" s="77"/>
      <c r="J39" s="77"/>
      <c r="K39" s="77"/>
      <c r="L39" s="77"/>
      <c r="M39" s="77"/>
      <c r="N39" s="77"/>
      <c r="O39" s="77"/>
      <c r="P39" s="77"/>
      <c r="Q39" s="77"/>
      <c r="S39" s="78"/>
      <c r="U39" s="110"/>
      <c r="W39" s="77"/>
      <c r="Y39" s="77"/>
      <c r="Z39" s="77"/>
      <c r="IV39"/>
    </row>
    <row r="40" spans="1:256" s="20" customFormat="1" ht="15.75" customHeight="1">
      <c r="A40" s="55"/>
      <c r="B40" s="111" t="s">
        <v>39</v>
      </c>
      <c r="D40" s="112">
        <f>SUM(D5:D38)</f>
        <v>0</v>
      </c>
      <c r="E40" s="112">
        <f>SUM(E5:E38)</f>
        <v>0</v>
      </c>
      <c r="F40" s="112">
        <f>SUM(F5:F38)</f>
        <v>0</v>
      </c>
      <c r="G40" s="113">
        <f>SUM(G5:G38)</f>
        <v>0</v>
      </c>
      <c r="I40" s="112">
        <f>SUM(I5:I38)</f>
        <v>0</v>
      </c>
      <c r="J40" s="112">
        <f>SUM(J5:J38)</f>
        <v>0</v>
      </c>
      <c r="K40" s="112">
        <f>SUM(K5:K38)</f>
        <v>0</v>
      </c>
      <c r="L40" s="112">
        <f>SUM(L5:L38)</f>
        <v>0</v>
      </c>
      <c r="M40" s="112">
        <f>SUM(M5:M38)</f>
        <v>0</v>
      </c>
      <c r="N40" s="112">
        <f>SUM(N5:N38)</f>
        <v>0</v>
      </c>
      <c r="O40" s="112">
        <f>SUM(O5:O38)</f>
        <v>0</v>
      </c>
      <c r="P40" s="114"/>
      <c r="Q40" s="115">
        <f>SUM(Q5:Q38)</f>
        <v>0</v>
      </c>
      <c r="S40" s="73">
        <f>S37</f>
        <v>2000</v>
      </c>
      <c r="T40" s="77"/>
      <c r="U40" s="116"/>
      <c r="W40" s="117">
        <f>SUM(W5:W38)</f>
        <v>0</v>
      </c>
      <c r="Y40" s="118">
        <f>SUM(Y5:Y38)</f>
        <v>0</v>
      </c>
      <c r="Z40" s="118">
        <f>SUM(Z5:Z38)</f>
        <v>0</v>
      </c>
      <c r="AB40" s="119">
        <f>SUM(AB5:AB38)</f>
        <v>0</v>
      </c>
      <c r="IV40"/>
    </row>
    <row r="41" spans="1:256" s="121" customFormat="1" ht="11.25">
      <c r="A41" s="55"/>
      <c r="B41" s="120" t="s">
        <v>40</v>
      </c>
      <c r="D41" s="122">
        <f>D40*40.3399</f>
        <v>0</v>
      </c>
      <c r="E41" s="122">
        <f>E40*40.3399</f>
        <v>0</v>
      </c>
      <c r="F41" s="122">
        <f>F40*40.3399</f>
        <v>0</v>
      </c>
      <c r="G41" s="123">
        <f>G40*40.3399</f>
        <v>0</v>
      </c>
      <c r="I41" s="122">
        <f>I40*40.3399</f>
        <v>0</v>
      </c>
      <c r="J41" s="122">
        <f>J40*40.3399</f>
        <v>0</v>
      </c>
      <c r="K41" s="122">
        <f>K40*40.3399</f>
        <v>0</v>
      </c>
      <c r="L41" s="122">
        <f>L40*40.3399</f>
        <v>0</v>
      </c>
      <c r="M41" s="122"/>
      <c r="N41" s="122"/>
      <c r="O41" s="122">
        <f>O40*40.3399</f>
        <v>0</v>
      </c>
      <c r="P41" s="124"/>
      <c r="Q41" s="123">
        <f>Q40*40.3399</f>
        <v>0</v>
      </c>
      <c r="S41" s="124">
        <f>U40*40.3399</f>
        <v>0</v>
      </c>
      <c r="T41" s="124"/>
      <c r="U41" s="124"/>
      <c r="W41" s="122">
        <f>W40*40.3399</f>
        <v>0</v>
      </c>
      <c r="Y41" s="122">
        <f>Y40*40.3399</f>
        <v>0</v>
      </c>
      <c r="Z41" s="122">
        <f>Z40*40.3399</f>
        <v>0</v>
      </c>
      <c r="AB41" s="122">
        <f>AB40*40.3399</f>
        <v>0</v>
      </c>
      <c r="IV41"/>
    </row>
    <row r="42" spans="1:256" s="121" customFormat="1" ht="11.25">
      <c r="A42" s="55"/>
      <c r="B42" s="110"/>
      <c r="D42" s="125" t="s">
        <v>41</v>
      </c>
      <c r="E42" s="126">
        <f>SUM(C4:C38)</f>
        <v>0</v>
      </c>
      <c r="F42" s="125" t="s">
        <v>42</v>
      </c>
      <c r="G42" s="124">
        <f>IF(E42&gt;0,G41/E42,0)</f>
        <v>0</v>
      </c>
      <c r="I42" s="124" t="s">
        <v>40</v>
      </c>
      <c r="J42" s="124"/>
      <c r="K42" s="124"/>
      <c r="L42" s="124"/>
      <c r="M42" s="124"/>
      <c r="N42" s="124"/>
      <c r="O42" s="124"/>
      <c r="P42" s="124"/>
      <c r="Q42" s="124"/>
      <c r="S42" s="127"/>
      <c r="V42" s="128"/>
      <c r="W42" s="128"/>
      <c r="X42" s="124"/>
      <c r="Y42" s="124"/>
      <c r="Z42" s="124"/>
      <c r="IV42"/>
    </row>
    <row r="43" spans="1:256" s="121" customFormat="1" ht="10.5" customHeight="1">
      <c r="A43" s="55"/>
      <c r="D43" s="125" t="s">
        <v>43</v>
      </c>
      <c r="E43" s="129"/>
      <c r="F43" s="125" t="s">
        <v>44</v>
      </c>
      <c r="G43" s="124">
        <f>IF(E43&gt;0,G41/E43,0)</f>
        <v>0</v>
      </c>
      <c r="I43" s="124" t="s">
        <v>40</v>
      </c>
      <c r="J43" s="128"/>
      <c r="K43" s="128"/>
      <c r="L43" s="128"/>
      <c r="M43" s="128"/>
      <c r="N43" s="128"/>
      <c r="O43" s="128"/>
      <c r="P43" s="124"/>
      <c r="Q43" s="124"/>
      <c r="S43" s="130">
        <f>MIN(S4:S38)</f>
        <v>2000</v>
      </c>
      <c r="V43" s="128"/>
      <c r="W43" s="128"/>
      <c r="X43" s="124"/>
      <c r="Y43" s="124"/>
      <c r="Z43" s="124"/>
      <c r="IV43"/>
    </row>
    <row r="44" spans="1:256" s="20" customFormat="1" ht="10.5" customHeight="1">
      <c r="A44" s="55"/>
      <c r="B44" s="121"/>
      <c r="C44" s="121"/>
      <c r="D44" s="125" t="s">
        <v>45</v>
      </c>
      <c r="E44" s="126">
        <f>IF(E42&gt;0,E43/E42,0)</f>
        <v>0</v>
      </c>
      <c r="F44" s="77"/>
      <c r="G44" s="77"/>
      <c r="I44" s="77"/>
      <c r="J44" s="77"/>
      <c r="K44" s="77"/>
      <c r="L44" s="77"/>
      <c r="M44" s="77"/>
      <c r="N44" s="77"/>
      <c r="O44" s="77"/>
      <c r="P44" s="77"/>
      <c r="Q44" s="77"/>
      <c r="S44" s="124">
        <f>S43*40.3399</f>
        <v>80679.8</v>
      </c>
      <c r="U44" s="110"/>
      <c r="V44" s="131"/>
      <c r="W44" s="131"/>
      <c r="X44" s="77"/>
      <c r="Y44" s="77"/>
      <c r="Z44" s="77"/>
      <c r="IV44"/>
    </row>
    <row r="45" spans="1:256" s="20" customFormat="1" ht="11.25">
      <c r="A45" s="55"/>
      <c r="B45" s="110"/>
      <c r="D45" s="77"/>
      <c r="E45" s="77"/>
      <c r="F45" s="77"/>
      <c r="G45" s="77"/>
      <c r="I45" s="77"/>
      <c r="J45" s="77"/>
      <c r="K45" s="77"/>
      <c r="L45" s="77"/>
      <c r="M45" s="77"/>
      <c r="N45" s="77"/>
      <c r="O45" s="77"/>
      <c r="P45" s="77"/>
      <c r="Q45" s="77"/>
      <c r="S45" s="78"/>
      <c r="U45" s="110"/>
      <c r="W45" s="77"/>
      <c r="Y45" s="77"/>
      <c r="Z45" s="77"/>
      <c r="IV45"/>
    </row>
    <row r="46" spans="1:256" s="20" customFormat="1" ht="11.25">
      <c r="A46" s="55"/>
      <c r="B46" s="110"/>
      <c r="D46" s="77"/>
      <c r="E46" s="77"/>
      <c r="F46" s="77"/>
      <c r="G46" s="77"/>
      <c r="I46" s="77"/>
      <c r="J46" s="77"/>
      <c r="K46" s="77"/>
      <c r="L46" s="77"/>
      <c r="M46" s="77"/>
      <c r="N46" s="77"/>
      <c r="O46" s="77"/>
      <c r="P46" s="77"/>
      <c r="Q46" s="77"/>
      <c r="S46" s="78"/>
      <c r="U46" s="110"/>
      <c r="W46" s="77"/>
      <c r="Y46" s="77"/>
      <c r="Z46" s="77"/>
      <c r="IV46"/>
    </row>
    <row r="47" spans="1:256" s="20" customFormat="1" ht="11.25">
      <c r="A47" s="55"/>
      <c r="B47" s="110"/>
      <c r="D47" s="77"/>
      <c r="E47" s="77"/>
      <c r="F47" s="77"/>
      <c r="G47" s="77"/>
      <c r="I47" s="77"/>
      <c r="J47" s="77"/>
      <c r="K47" s="77"/>
      <c r="L47" s="77"/>
      <c r="M47" s="77"/>
      <c r="N47" s="77"/>
      <c r="O47" s="77"/>
      <c r="P47" s="77"/>
      <c r="Q47" s="77"/>
      <c r="S47" s="78"/>
      <c r="U47" s="110"/>
      <c r="W47" s="77"/>
      <c r="Y47" s="77"/>
      <c r="Z47" s="77"/>
      <c r="IV47"/>
    </row>
    <row r="48" spans="1:256" s="20" customFormat="1" ht="11.25">
      <c r="A48" s="55"/>
      <c r="B48" s="110"/>
      <c r="D48" s="77"/>
      <c r="E48" s="77"/>
      <c r="F48" s="77"/>
      <c r="G48" s="77"/>
      <c r="I48" s="77"/>
      <c r="J48" s="77"/>
      <c r="K48" s="77"/>
      <c r="L48" s="77"/>
      <c r="M48" s="77"/>
      <c r="N48" s="77"/>
      <c r="O48" s="77"/>
      <c r="P48" s="77"/>
      <c r="Q48" s="77"/>
      <c r="S48" s="78"/>
      <c r="U48" s="110"/>
      <c r="W48" s="77"/>
      <c r="Y48" s="77"/>
      <c r="Z48" s="77"/>
      <c r="IV48"/>
    </row>
    <row r="49" spans="1:256" s="20" customFormat="1" ht="11.25">
      <c r="A49" s="55"/>
      <c r="B49" s="110"/>
      <c r="D49" s="77"/>
      <c r="E49" s="77"/>
      <c r="F49" s="77"/>
      <c r="G49" s="77"/>
      <c r="I49" s="77"/>
      <c r="J49" s="77"/>
      <c r="K49" s="77"/>
      <c r="L49" s="77"/>
      <c r="M49" s="77"/>
      <c r="N49" s="77"/>
      <c r="O49" s="77"/>
      <c r="P49" s="77"/>
      <c r="Q49" s="77"/>
      <c r="S49" s="78"/>
      <c r="U49" s="110"/>
      <c r="W49" s="77"/>
      <c r="Y49" s="77"/>
      <c r="Z49" s="77"/>
      <c r="IV49"/>
    </row>
    <row r="50" spans="1:256" s="20" customFormat="1" ht="11.25">
      <c r="A50" s="55"/>
      <c r="B50" s="110"/>
      <c r="D50" s="77"/>
      <c r="E50" s="77"/>
      <c r="F50" s="77"/>
      <c r="G50" s="77"/>
      <c r="I50" s="77"/>
      <c r="J50" s="77"/>
      <c r="K50" s="77"/>
      <c r="L50" s="77"/>
      <c r="M50" s="77"/>
      <c r="N50" s="77"/>
      <c r="O50" s="77"/>
      <c r="P50" s="77"/>
      <c r="Q50" s="77"/>
      <c r="S50" s="78"/>
      <c r="U50" s="110"/>
      <c r="W50" s="77"/>
      <c r="Y50" s="77"/>
      <c r="Z50" s="77"/>
      <c r="IV50"/>
    </row>
    <row r="51" spans="1:256" s="20" customFormat="1" ht="11.25">
      <c r="A51" s="55"/>
      <c r="B51" s="110"/>
      <c r="D51" s="77"/>
      <c r="E51" s="77"/>
      <c r="F51" s="77"/>
      <c r="G51" s="77"/>
      <c r="I51" s="77"/>
      <c r="J51" s="77"/>
      <c r="K51" s="77"/>
      <c r="L51" s="77"/>
      <c r="M51" s="77"/>
      <c r="N51" s="77"/>
      <c r="O51" s="77"/>
      <c r="P51" s="77"/>
      <c r="Q51" s="77"/>
      <c r="S51" s="78"/>
      <c r="U51" s="110"/>
      <c r="W51" s="77"/>
      <c r="Y51" s="77"/>
      <c r="Z51" s="77"/>
      <c r="IV51"/>
    </row>
    <row r="52" spans="1:256" s="20" customFormat="1" ht="11.25">
      <c r="A52" s="55"/>
      <c r="B52" s="110"/>
      <c r="D52" s="77"/>
      <c r="E52" s="77"/>
      <c r="F52" s="77"/>
      <c r="G52" s="77"/>
      <c r="I52" s="77"/>
      <c r="J52" s="77"/>
      <c r="K52" s="77"/>
      <c r="L52" s="77"/>
      <c r="M52" s="77"/>
      <c r="N52" s="77"/>
      <c r="O52" s="77"/>
      <c r="P52" s="77"/>
      <c r="Q52" s="77"/>
      <c r="S52" s="78"/>
      <c r="U52" s="110"/>
      <c r="W52" s="77"/>
      <c r="Y52" s="77"/>
      <c r="Z52" s="77"/>
      <c r="IV52"/>
    </row>
    <row r="53" spans="1:256" s="20" customFormat="1" ht="11.25">
      <c r="A53" s="55"/>
      <c r="B53" s="110"/>
      <c r="D53" s="77"/>
      <c r="E53" s="77"/>
      <c r="F53" s="77"/>
      <c r="G53" s="77"/>
      <c r="I53" s="77"/>
      <c r="J53" s="77"/>
      <c r="K53" s="77"/>
      <c r="L53" s="77"/>
      <c r="M53" s="77"/>
      <c r="N53" s="77"/>
      <c r="O53" s="77"/>
      <c r="P53" s="77"/>
      <c r="Q53" s="77"/>
      <c r="S53" s="78"/>
      <c r="U53" s="110"/>
      <c r="W53" s="77"/>
      <c r="Y53" s="77"/>
      <c r="Z53" s="77"/>
      <c r="IV53"/>
    </row>
    <row r="54" spans="1:256" s="20" customFormat="1" ht="11.25">
      <c r="A54" s="55"/>
      <c r="B54" s="110"/>
      <c r="D54" s="77"/>
      <c r="E54" s="77"/>
      <c r="F54" s="77"/>
      <c r="G54" s="77"/>
      <c r="I54" s="77"/>
      <c r="J54" s="77"/>
      <c r="K54" s="77"/>
      <c r="L54" s="77"/>
      <c r="M54" s="77"/>
      <c r="N54" s="77"/>
      <c r="O54" s="77"/>
      <c r="P54" s="77"/>
      <c r="Q54" s="77"/>
      <c r="S54" s="78"/>
      <c r="U54" s="110"/>
      <c r="W54" s="77"/>
      <c r="Y54" s="77"/>
      <c r="Z54" s="77"/>
      <c r="IV54"/>
    </row>
    <row r="55" spans="1:256" s="20" customFormat="1" ht="11.25">
      <c r="A55" s="55"/>
      <c r="B55" s="110"/>
      <c r="D55" s="77"/>
      <c r="E55" s="77"/>
      <c r="F55" s="77"/>
      <c r="G55" s="77"/>
      <c r="I55" s="77"/>
      <c r="J55" s="77"/>
      <c r="K55" s="77"/>
      <c r="L55" s="77"/>
      <c r="M55" s="77"/>
      <c r="N55" s="77"/>
      <c r="O55" s="77"/>
      <c r="P55" s="77"/>
      <c r="Q55" s="77"/>
      <c r="S55" s="78"/>
      <c r="U55" s="110"/>
      <c r="W55" s="77"/>
      <c r="Y55" s="77"/>
      <c r="Z55" s="77"/>
      <c r="IV55"/>
    </row>
    <row r="56" spans="1:256" s="20" customFormat="1" ht="11.25">
      <c r="A56" s="55"/>
      <c r="B56" s="110"/>
      <c r="D56" s="77"/>
      <c r="E56" s="77"/>
      <c r="F56" s="77"/>
      <c r="G56" s="77"/>
      <c r="I56" s="77"/>
      <c r="J56" s="77"/>
      <c r="K56" s="77"/>
      <c r="L56" s="77"/>
      <c r="M56" s="77"/>
      <c r="N56" s="77"/>
      <c r="O56" s="77"/>
      <c r="P56" s="77"/>
      <c r="Q56" s="77"/>
      <c r="S56" s="78"/>
      <c r="U56" s="110"/>
      <c r="W56" s="77"/>
      <c r="Y56" s="77"/>
      <c r="Z56" s="77"/>
      <c r="IV56"/>
    </row>
    <row r="57" spans="1:256" s="20" customFormat="1" ht="11.25">
      <c r="A57" s="55"/>
      <c r="B57" s="110"/>
      <c r="D57" s="77"/>
      <c r="E57" s="77"/>
      <c r="F57" s="77"/>
      <c r="G57" s="77"/>
      <c r="I57" s="77"/>
      <c r="J57" s="77"/>
      <c r="K57" s="77"/>
      <c r="L57" s="77"/>
      <c r="M57" s="77"/>
      <c r="N57" s="77"/>
      <c r="O57" s="77"/>
      <c r="P57" s="77"/>
      <c r="Q57" s="77"/>
      <c r="S57" s="78"/>
      <c r="U57" s="110"/>
      <c r="W57" s="77"/>
      <c r="Y57" s="77"/>
      <c r="Z57" s="77"/>
      <c r="IV57"/>
    </row>
    <row r="58" spans="1:256" s="20" customFormat="1" ht="11.25">
      <c r="A58" s="55"/>
      <c r="B58" s="110"/>
      <c r="D58" s="77"/>
      <c r="E58" s="77"/>
      <c r="F58" s="77"/>
      <c r="G58" s="77"/>
      <c r="I58" s="77"/>
      <c r="J58" s="77"/>
      <c r="K58" s="77"/>
      <c r="L58" s="77"/>
      <c r="M58" s="77"/>
      <c r="N58" s="77"/>
      <c r="O58" s="77"/>
      <c r="P58" s="77"/>
      <c r="Q58" s="77"/>
      <c r="S58" s="78"/>
      <c r="U58" s="110"/>
      <c r="W58" s="77"/>
      <c r="Y58" s="77"/>
      <c r="Z58" s="77"/>
      <c r="IV58"/>
    </row>
    <row r="59" spans="1:256" s="20" customFormat="1" ht="11.25">
      <c r="A59" s="55"/>
      <c r="B59" s="110"/>
      <c r="D59" s="77"/>
      <c r="E59" s="77"/>
      <c r="F59" s="77"/>
      <c r="G59" s="77"/>
      <c r="I59" s="77"/>
      <c r="J59" s="77"/>
      <c r="K59" s="77"/>
      <c r="L59" s="77"/>
      <c r="M59" s="77"/>
      <c r="N59" s="77"/>
      <c r="O59" s="77"/>
      <c r="P59" s="77"/>
      <c r="Q59" s="77"/>
      <c r="S59" s="78"/>
      <c r="U59" s="110"/>
      <c r="W59" s="77"/>
      <c r="Y59" s="77"/>
      <c r="Z59" s="77"/>
      <c r="IV59"/>
    </row>
    <row r="60" spans="1:256" s="20" customFormat="1" ht="11.25">
      <c r="A60" s="55"/>
      <c r="B60" s="110"/>
      <c r="D60" s="77"/>
      <c r="E60" s="77"/>
      <c r="F60" s="77"/>
      <c r="G60" s="77"/>
      <c r="I60" s="77"/>
      <c r="J60" s="77"/>
      <c r="K60" s="77"/>
      <c r="L60" s="77"/>
      <c r="M60" s="77"/>
      <c r="N60" s="77"/>
      <c r="O60" s="77"/>
      <c r="P60" s="77"/>
      <c r="Q60" s="77"/>
      <c r="S60" s="78"/>
      <c r="U60" s="110"/>
      <c r="W60" s="77"/>
      <c r="Y60" s="77"/>
      <c r="Z60" s="77"/>
      <c r="IV60"/>
    </row>
    <row r="61" spans="1:256" s="20" customFormat="1" ht="11.25">
      <c r="A61" s="55"/>
      <c r="B61" s="110"/>
      <c r="D61" s="77"/>
      <c r="E61" s="77"/>
      <c r="F61" s="77"/>
      <c r="G61" s="77"/>
      <c r="I61" s="77"/>
      <c r="J61" s="77"/>
      <c r="K61" s="77"/>
      <c r="L61" s="77"/>
      <c r="M61" s="77"/>
      <c r="N61" s="77"/>
      <c r="O61" s="77"/>
      <c r="P61" s="77"/>
      <c r="Q61" s="77"/>
      <c r="S61" s="78"/>
      <c r="U61" s="110"/>
      <c r="W61" s="77"/>
      <c r="Y61" s="77"/>
      <c r="Z61" s="77"/>
      <c r="IV61"/>
    </row>
    <row r="62" spans="1:256" s="20" customFormat="1" ht="11.25">
      <c r="A62" s="55"/>
      <c r="B62" s="110"/>
      <c r="D62" s="77"/>
      <c r="E62" s="77"/>
      <c r="F62" s="77"/>
      <c r="G62" s="77"/>
      <c r="I62" s="77"/>
      <c r="J62" s="77"/>
      <c r="K62" s="77"/>
      <c r="L62" s="77"/>
      <c r="M62" s="77"/>
      <c r="N62" s="77"/>
      <c r="O62" s="77"/>
      <c r="P62" s="77"/>
      <c r="Q62" s="77"/>
      <c r="S62" s="78"/>
      <c r="U62" s="110"/>
      <c r="W62" s="77"/>
      <c r="Y62" s="77"/>
      <c r="Z62" s="77"/>
      <c r="IV62"/>
    </row>
    <row r="63" spans="1:256" s="20" customFormat="1" ht="11.25">
      <c r="A63" s="55"/>
      <c r="B63" s="110"/>
      <c r="D63" s="77"/>
      <c r="E63" s="77"/>
      <c r="F63" s="77"/>
      <c r="G63" s="77"/>
      <c r="I63" s="77"/>
      <c r="J63" s="77"/>
      <c r="K63" s="77"/>
      <c r="L63" s="77"/>
      <c r="M63" s="77"/>
      <c r="N63" s="77"/>
      <c r="O63" s="77"/>
      <c r="P63" s="77"/>
      <c r="Q63" s="77"/>
      <c r="S63" s="78"/>
      <c r="U63" s="110"/>
      <c r="W63" s="77"/>
      <c r="Y63" s="77"/>
      <c r="Z63" s="77"/>
      <c r="IV63"/>
    </row>
    <row r="64" spans="1:256" s="20" customFormat="1" ht="11.25">
      <c r="A64" s="55"/>
      <c r="B64" s="110"/>
      <c r="D64" s="77"/>
      <c r="E64" s="77"/>
      <c r="F64" s="77"/>
      <c r="G64" s="77"/>
      <c r="I64" s="77"/>
      <c r="J64" s="77"/>
      <c r="K64" s="77"/>
      <c r="L64" s="77"/>
      <c r="M64" s="77"/>
      <c r="N64" s="77"/>
      <c r="O64" s="77"/>
      <c r="P64" s="77"/>
      <c r="Q64" s="77"/>
      <c r="S64" s="78"/>
      <c r="U64" s="110"/>
      <c r="W64" s="77"/>
      <c r="Y64" s="77"/>
      <c r="Z64" s="77"/>
      <c r="IV64"/>
    </row>
    <row r="65" spans="1:256" s="20" customFormat="1" ht="11.25">
      <c r="A65" s="55"/>
      <c r="B65" s="110"/>
      <c r="D65" s="77"/>
      <c r="E65" s="77"/>
      <c r="F65" s="77"/>
      <c r="G65" s="77"/>
      <c r="I65" s="77"/>
      <c r="J65" s="77"/>
      <c r="K65" s="77"/>
      <c r="L65" s="77"/>
      <c r="M65" s="77"/>
      <c r="N65" s="77"/>
      <c r="O65" s="77"/>
      <c r="P65" s="77"/>
      <c r="Q65" s="77"/>
      <c r="S65" s="78"/>
      <c r="U65" s="110"/>
      <c r="W65" s="77"/>
      <c r="Y65" s="77"/>
      <c r="Z65" s="77"/>
      <c r="IV65"/>
    </row>
    <row r="66" spans="1:256" s="20" customFormat="1" ht="11.25">
      <c r="A66" s="55"/>
      <c r="B66" s="110"/>
      <c r="D66" s="77"/>
      <c r="E66" s="77"/>
      <c r="F66" s="77"/>
      <c r="G66" s="77"/>
      <c r="I66" s="77"/>
      <c r="J66" s="77"/>
      <c r="K66" s="77"/>
      <c r="L66" s="77"/>
      <c r="M66" s="77"/>
      <c r="N66" s="77"/>
      <c r="O66" s="77"/>
      <c r="P66" s="77"/>
      <c r="Q66" s="77"/>
      <c r="S66" s="78"/>
      <c r="U66" s="110"/>
      <c r="W66" s="77"/>
      <c r="Y66" s="77"/>
      <c r="Z66" s="77"/>
      <c r="IV66"/>
    </row>
    <row r="67" spans="1:256" s="20" customFormat="1" ht="11.25">
      <c r="A67" s="55"/>
      <c r="B67" s="110"/>
      <c r="D67" s="77"/>
      <c r="E67" s="77"/>
      <c r="F67" s="77"/>
      <c r="G67" s="77"/>
      <c r="I67" s="77"/>
      <c r="J67" s="77"/>
      <c r="K67" s="77"/>
      <c r="L67" s="77"/>
      <c r="M67" s="77"/>
      <c r="N67" s="77"/>
      <c r="O67" s="77"/>
      <c r="P67" s="77"/>
      <c r="Q67" s="77"/>
      <c r="S67" s="78"/>
      <c r="U67" s="110"/>
      <c r="W67" s="77"/>
      <c r="Y67" s="77"/>
      <c r="Z67" s="77"/>
      <c r="IV67"/>
    </row>
    <row r="68" spans="1:256" s="20" customFormat="1" ht="11.25">
      <c r="A68" s="55"/>
      <c r="B68" s="110"/>
      <c r="D68" s="77"/>
      <c r="E68" s="77"/>
      <c r="F68" s="77"/>
      <c r="G68" s="77"/>
      <c r="I68" s="77"/>
      <c r="J68" s="77"/>
      <c r="K68" s="77"/>
      <c r="L68" s="77"/>
      <c r="M68" s="77"/>
      <c r="N68" s="77"/>
      <c r="O68" s="77"/>
      <c r="P68" s="77"/>
      <c r="Q68" s="77"/>
      <c r="S68" s="78"/>
      <c r="U68" s="110"/>
      <c r="W68" s="77"/>
      <c r="Y68" s="77"/>
      <c r="Z68" s="77"/>
      <c r="IV68"/>
    </row>
    <row r="69" spans="1:256" s="20" customFormat="1" ht="11.25">
      <c r="A69" s="55"/>
      <c r="B69" s="110"/>
      <c r="D69" s="77"/>
      <c r="E69" s="77"/>
      <c r="F69" s="77"/>
      <c r="G69" s="77"/>
      <c r="I69" s="77"/>
      <c r="J69" s="77"/>
      <c r="K69" s="77"/>
      <c r="L69" s="77"/>
      <c r="M69" s="77"/>
      <c r="N69" s="77"/>
      <c r="O69" s="77"/>
      <c r="P69" s="77"/>
      <c r="Q69" s="77"/>
      <c r="S69" s="78"/>
      <c r="U69" s="110"/>
      <c r="W69" s="77"/>
      <c r="Y69" s="77"/>
      <c r="Z69" s="77"/>
      <c r="IV69"/>
    </row>
    <row r="70" spans="1:256" s="20" customFormat="1" ht="11.25">
      <c r="A70" s="55"/>
      <c r="B70" s="110"/>
      <c r="D70" s="77"/>
      <c r="E70" s="77"/>
      <c r="F70" s="77"/>
      <c r="G70" s="77"/>
      <c r="I70" s="77"/>
      <c r="J70" s="77"/>
      <c r="K70" s="77"/>
      <c r="L70" s="77"/>
      <c r="M70" s="77"/>
      <c r="N70" s="77"/>
      <c r="O70" s="77"/>
      <c r="P70" s="77"/>
      <c r="Q70" s="77"/>
      <c r="S70" s="78"/>
      <c r="U70" s="110"/>
      <c r="W70" s="77"/>
      <c r="Y70" s="77"/>
      <c r="Z70" s="77"/>
      <c r="IV70"/>
    </row>
    <row r="71" spans="1:256" s="20" customFormat="1" ht="11.25">
      <c r="A71" s="55"/>
      <c r="B71" s="110"/>
      <c r="D71" s="77"/>
      <c r="E71" s="77"/>
      <c r="F71" s="77"/>
      <c r="G71" s="77"/>
      <c r="I71" s="77"/>
      <c r="J71" s="77"/>
      <c r="K71" s="77"/>
      <c r="L71" s="77"/>
      <c r="M71" s="77"/>
      <c r="N71" s="77"/>
      <c r="O71" s="77"/>
      <c r="P71" s="77"/>
      <c r="Q71" s="77"/>
      <c r="S71" s="78"/>
      <c r="U71" s="110"/>
      <c r="W71" s="77"/>
      <c r="Y71" s="77"/>
      <c r="Z71" s="77"/>
      <c r="IV71"/>
    </row>
    <row r="72" spans="1:256" s="20" customFormat="1" ht="11.25">
      <c r="A72" s="55"/>
      <c r="B72" s="110"/>
      <c r="D72" s="77"/>
      <c r="E72" s="77"/>
      <c r="F72" s="77"/>
      <c r="G72" s="77"/>
      <c r="I72" s="77"/>
      <c r="J72" s="77"/>
      <c r="K72" s="77"/>
      <c r="L72" s="77"/>
      <c r="M72" s="77"/>
      <c r="N72" s="77"/>
      <c r="O72" s="77"/>
      <c r="P72" s="77"/>
      <c r="Q72" s="77"/>
      <c r="S72" s="78"/>
      <c r="U72" s="110"/>
      <c r="W72" s="77"/>
      <c r="Y72" s="77"/>
      <c r="Z72" s="77"/>
      <c r="IV72"/>
    </row>
    <row r="73" spans="1:256" s="20" customFormat="1" ht="11.25">
      <c r="A73" s="55"/>
      <c r="B73" s="110"/>
      <c r="D73" s="77"/>
      <c r="E73" s="77"/>
      <c r="F73" s="77"/>
      <c r="G73" s="77"/>
      <c r="I73" s="77"/>
      <c r="J73" s="77"/>
      <c r="K73" s="77"/>
      <c r="L73" s="77"/>
      <c r="M73" s="77"/>
      <c r="N73" s="77"/>
      <c r="O73" s="77"/>
      <c r="P73" s="77"/>
      <c r="Q73" s="77"/>
      <c r="S73" s="78"/>
      <c r="U73" s="110"/>
      <c r="W73" s="77"/>
      <c r="Y73" s="77"/>
      <c r="Z73" s="77"/>
      <c r="IV73"/>
    </row>
    <row r="74" spans="1:256" s="20" customFormat="1" ht="11.25">
      <c r="A74" s="55"/>
      <c r="B74" s="110"/>
      <c r="D74" s="77"/>
      <c r="E74" s="77"/>
      <c r="F74" s="77"/>
      <c r="G74" s="77"/>
      <c r="I74" s="77"/>
      <c r="J74" s="77"/>
      <c r="K74" s="77"/>
      <c r="L74" s="77"/>
      <c r="M74" s="77"/>
      <c r="N74" s="77"/>
      <c r="O74" s="77"/>
      <c r="P74" s="77"/>
      <c r="Q74" s="77"/>
      <c r="S74" s="78"/>
      <c r="U74" s="110"/>
      <c r="W74" s="77"/>
      <c r="Y74" s="77"/>
      <c r="Z74" s="77"/>
      <c r="IV74"/>
    </row>
    <row r="75" spans="1:256" s="20" customFormat="1" ht="11.25">
      <c r="A75" s="55"/>
      <c r="B75" s="110"/>
      <c r="D75" s="77"/>
      <c r="E75" s="77"/>
      <c r="F75" s="77"/>
      <c r="G75" s="77"/>
      <c r="I75" s="77"/>
      <c r="J75" s="77"/>
      <c r="K75" s="77"/>
      <c r="L75" s="77"/>
      <c r="M75" s="77"/>
      <c r="N75" s="77"/>
      <c r="O75" s="77"/>
      <c r="P75" s="77"/>
      <c r="Q75" s="77"/>
      <c r="S75" s="78"/>
      <c r="U75" s="110"/>
      <c r="W75" s="77"/>
      <c r="Y75" s="77"/>
      <c r="Z75" s="77"/>
      <c r="IV75"/>
    </row>
    <row r="76" spans="1:256" s="20" customFormat="1" ht="11.25">
      <c r="A76" s="55"/>
      <c r="B76" s="110"/>
      <c r="D76" s="77"/>
      <c r="E76" s="77"/>
      <c r="F76" s="77"/>
      <c r="G76" s="77"/>
      <c r="I76" s="77"/>
      <c r="J76" s="77"/>
      <c r="K76" s="77"/>
      <c r="L76" s="77"/>
      <c r="M76" s="77"/>
      <c r="N76" s="77"/>
      <c r="O76" s="77"/>
      <c r="P76" s="77"/>
      <c r="Q76" s="77"/>
      <c r="S76" s="78"/>
      <c r="U76" s="110"/>
      <c r="W76" s="77"/>
      <c r="Y76" s="77"/>
      <c r="Z76" s="77"/>
      <c r="IV76"/>
    </row>
    <row r="77" spans="1:256" s="20" customFormat="1" ht="11.25">
      <c r="A77" s="55"/>
      <c r="B77" s="110"/>
      <c r="D77" s="77"/>
      <c r="E77" s="77"/>
      <c r="F77" s="77"/>
      <c r="G77" s="77"/>
      <c r="I77" s="77"/>
      <c r="J77" s="77"/>
      <c r="K77" s="77"/>
      <c r="L77" s="77"/>
      <c r="M77" s="77"/>
      <c r="N77" s="77"/>
      <c r="O77" s="77"/>
      <c r="P77" s="77"/>
      <c r="Q77" s="77"/>
      <c r="S77" s="78"/>
      <c r="U77" s="110"/>
      <c r="W77" s="77"/>
      <c r="Y77" s="77"/>
      <c r="Z77" s="77"/>
      <c r="IV77"/>
    </row>
    <row r="78" spans="1:256" s="20" customFormat="1" ht="11.25">
      <c r="A78" s="55"/>
      <c r="B78" s="110"/>
      <c r="D78" s="77"/>
      <c r="E78" s="77"/>
      <c r="F78" s="77"/>
      <c r="G78" s="77"/>
      <c r="I78" s="77"/>
      <c r="J78" s="77"/>
      <c r="K78" s="77"/>
      <c r="L78" s="77"/>
      <c r="M78" s="77"/>
      <c r="N78" s="77"/>
      <c r="O78" s="77"/>
      <c r="P78" s="77"/>
      <c r="Q78" s="77"/>
      <c r="S78" s="78"/>
      <c r="U78" s="110"/>
      <c r="W78" s="77"/>
      <c r="Y78" s="77"/>
      <c r="Z78" s="77"/>
      <c r="IV78"/>
    </row>
    <row r="79" spans="1:256" s="20" customFormat="1" ht="11.25">
      <c r="A79" s="55"/>
      <c r="B79" s="110"/>
      <c r="D79" s="77"/>
      <c r="E79" s="77"/>
      <c r="F79" s="77"/>
      <c r="G79" s="77"/>
      <c r="I79" s="77"/>
      <c r="J79" s="77"/>
      <c r="K79" s="77"/>
      <c r="L79" s="77"/>
      <c r="M79" s="77"/>
      <c r="N79" s="77"/>
      <c r="O79" s="77"/>
      <c r="P79" s="77"/>
      <c r="Q79" s="77"/>
      <c r="S79" s="78"/>
      <c r="U79" s="110"/>
      <c r="W79" s="77"/>
      <c r="Y79" s="77"/>
      <c r="Z79" s="77"/>
      <c r="IV79"/>
    </row>
    <row r="80" spans="1:256" s="20" customFormat="1" ht="11.25">
      <c r="A80" s="55"/>
      <c r="B80" s="110"/>
      <c r="D80" s="77"/>
      <c r="E80" s="77"/>
      <c r="F80" s="77"/>
      <c r="G80" s="77"/>
      <c r="I80" s="77"/>
      <c r="J80" s="77"/>
      <c r="K80" s="77"/>
      <c r="L80" s="77"/>
      <c r="M80" s="77"/>
      <c r="N80" s="77"/>
      <c r="O80" s="77"/>
      <c r="P80" s="77"/>
      <c r="Q80" s="77"/>
      <c r="S80" s="78"/>
      <c r="U80" s="110"/>
      <c r="W80" s="77"/>
      <c r="Y80" s="77"/>
      <c r="Z80" s="77"/>
      <c r="IV80"/>
    </row>
    <row r="81" spans="1:256" s="20" customFormat="1" ht="11.25">
      <c r="A81" s="55"/>
      <c r="B81" s="110"/>
      <c r="D81" s="77"/>
      <c r="E81" s="77"/>
      <c r="F81" s="77"/>
      <c r="G81" s="77"/>
      <c r="I81" s="77"/>
      <c r="J81" s="77"/>
      <c r="K81" s="77"/>
      <c r="L81" s="77"/>
      <c r="M81" s="77"/>
      <c r="N81" s="77"/>
      <c r="O81" s="77"/>
      <c r="P81" s="77"/>
      <c r="Q81" s="77"/>
      <c r="S81" s="78"/>
      <c r="U81" s="110"/>
      <c r="W81" s="77"/>
      <c r="Y81" s="77"/>
      <c r="Z81" s="77"/>
      <c r="IV81"/>
    </row>
    <row r="82" spans="1:256" s="20" customFormat="1" ht="11.25">
      <c r="A82" s="55"/>
      <c r="B82" s="110"/>
      <c r="D82" s="77"/>
      <c r="E82" s="77"/>
      <c r="F82" s="77"/>
      <c r="G82" s="77"/>
      <c r="I82" s="77"/>
      <c r="J82" s="77"/>
      <c r="K82" s="77"/>
      <c r="L82" s="77"/>
      <c r="M82" s="77"/>
      <c r="N82" s="77"/>
      <c r="O82" s="77"/>
      <c r="P82" s="77"/>
      <c r="Q82" s="77"/>
      <c r="S82" s="78"/>
      <c r="U82" s="110"/>
      <c r="W82" s="77"/>
      <c r="Y82" s="77"/>
      <c r="Z82" s="77"/>
      <c r="IV82"/>
    </row>
    <row r="83" spans="1:256" s="20" customFormat="1" ht="11.25">
      <c r="A83" s="55"/>
      <c r="B83" s="110"/>
      <c r="D83" s="77"/>
      <c r="E83" s="77"/>
      <c r="F83" s="77"/>
      <c r="G83" s="77"/>
      <c r="I83" s="77"/>
      <c r="J83" s="77"/>
      <c r="K83" s="77"/>
      <c r="L83" s="77"/>
      <c r="M83" s="77"/>
      <c r="N83" s="77"/>
      <c r="O83" s="77"/>
      <c r="P83" s="77"/>
      <c r="Q83" s="77"/>
      <c r="S83" s="78"/>
      <c r="U83" s="110"/>
      <c r="W83" s="77"/>
      <c r="Y83" s="77"/>
      <c r="Z83" s="77"/>
      <c r="IV83"/>
    </row>
    <row r="84" spans="1:256" s="20" customFormat="1" ht="11.25">
      <c r="A84" s="55"/>
      <c r="B84" s="110"/>
      <c r="D84" s="77"/>
      <c r="E84" s="77"/>
      <c r="F84" s="77"/>
      <c r="G84" s="77"/>
      <c r="I84" s="77"/>
      <c r="J84" s="77"/>
      <c r="K84" s="77"/>
      <c r="L84" s="77"/>
      <c r="M84" s="77"/>
      <c r="N84" s="77"/>
      <c r="O84" s="77"/>
      <c r="P84" s="77"/>
      <c r="Q84" s="77"/>
      <c r="S84" s="78"/>
      <c r="U84" s="110"/>
      <c r="W84" s="77"/>
      <c r="Y84" s="77"/>
      <c r="Z84" s="77"/>
      <c r="IV84"/>
    </row>
    <row r="85" spans="1:256" s="20" customFormat="1" ht="11.25">
      <c r="A85" s="55"/>
      <c r="B85" s="110"/>
      <c r="D85" s="77"/>
      <c r="E85" s="77"/>
      <c r="F85" s="77"/>
      <c r="G85" s="77"/>
      <c r="I85" s="77"/>
      <c r="J85" s="77"/>
      <c r="K85" s="77"/>
      <c r="L85" s="77"/>
      <c r="M85" s="77"/>
      <c r="N85" s="77"/>
      <c r="O85" s="77"/>
      <c r="P85" s="77"/>
      <c r="Q85" s="77"/>
      <c r="S85" s="78"/>
      <c r="U85" s="110"/>
      <c r="W85" s="77"/>
      <c r="Y85" s="77"/>
      <c r="Z85" s="77"/>
      <c r="IV85"/>
    </row>
    <row r="86" spans="1:256" s="20" customFormat="1" ht="11.25">
      <c r="A86" s="55"/>
      <c r="B86" s="110"/>
      <c r="D86" s="77"/>
      <c r="E86" s="77"/>
      <c r="F86" s="77"/>
      <c r="G86" s="77"/>
      <c r="I86" s="77"/>
      <c r="J86" s="77"/>
      <c r="K86" s="77"/>
      <c r="L86" s="77"/>
      <c r="M86" s="77"/>
      <c r="N86" s="77"/>
      <c r="O86" s="77"/>
      <c r="P86" s="77"/>
      <c r="Q86" s="77"/>
      <c r="S86" s="78"/>
      <c r="U86" s="110"/>
      <c r="W86" s="77"/>
      <c r="Y86" s="77"/>
      <c r="Z86" s="77"/>
      <c r="IV86"/>
    </row>
    <row r="87" spans="1:256" s="20" customFormat="1" ht="11.25">
      <c r="A87" s="55"/>
      <c r="B87" s="110"/>
      <c r="D87" s="77"/>
      <c r="E87" s="77"/>
      <c r="F87" s="77"/>
      <c r="G87" s="77"/>
      <c r="I87" s="77"/>
      <c r="J87" s="77"/>
      <c r="K87" s="77"/>
      <c r="L87" s="77"/>
      <c r="M87" s="77"/>
      <c r="N87" s="77"/>
      <c r="O87" s="77"/>
      <c r="P87" s="77"/>
      <c r="Q87" s="77"/>
      <c r="S87" s="78"/>
      <c r="U87" s="110"/>
      <c r="W87" s="77"/>
      <c r="Y87" s="77"/>
      <c r="Z87" s="77"/>
      <c r="IV87"/>
    </row>
    <row r="88" spans="1:256" s="20" customFormat="1" ht="11.25">
      <c r="A88" s="55"/>
      <c r="B88" s="110"/>
      <c r="D88" s="77"/>
      <c r="E88" s="77"/>
      <c r="F88" s="77"/>
      <c r="G88" s="77"/>
      <c r="I88" s="77"/>
      <c r="J88" s="77"/>
      <c r="K88" s="77"/>
      <c r="L88" s="77"/>
      <c r="M88" s="77"/>
      <c r="N88" s="77"/>
      <c r="O88" s="77"/>
      <c r="P88" s="77"/>
      <c r="Q88" s="77"/>
      <c r="S88" s="78"/>
      <c r="U88" s="110"/>
      <c r="W88" s="77"/>
      <c r="Y88" s="77"/>
      <c r="Z88" s="77"/>
      <c r="IV88"/>
    </row>
    <row r="89" spans="1:256" s="20" customFormat="1" ht="11.25">
      <c r="A89" s="55"/>
      <c r="B89" s="110"/>
      <c r="D89" s="77"/>
      <c r="E89" s="77"/>
      <c r="F89" s="77"/>
      <c r="G89" s="77"/>
      <c r="I89" s="77"/>
      <c r="J89" s="77"/>
      <c r="K89" s="77"/>
      <c r="L89" s="77"/>
      <c r="M89" s="77"/>
      <c r="N89" s="77"/>
      <c r="O89" s="77"/>
      <c r="P89" s="77"/>
      <c r="Q89" s="77"/>
      <c r="S89" s="78"/>
      <c r="U89" s="110"/>
      <c r="W89" s="77"/>
      <c r="Y89" s="77"/>
      <c r="Z89" s="77"/>
      <c r="IV89"/>
    </row>
    <row r="90" spans="1:256" s="20" customFormat="1" ht="11.25">
      <c r="A90" s="55"/>
      <c r="B90" s="110"/>
      <c r="D90" s="77"/>
      <c r="E90" s="77"/>
      <c r="F90" s="77"/>
      <c r="G90" s="77"/>
      <c r="I90" s="77"/>
      <c r="J90" s="77"/>
      <c r="K90" s="77"/>
      <c r="L90" s="77"/>
      <c r="M90" s="77"/>
      <c r="N90" s="77"/>
      <c r="O90" s="77"/>
      <c r="P90" s="77"/>
      <c r="Q90" s="77"/>
      <c r="S90" s="78"/>
      <c r="U90" s="110"/>
      <c r="W90" s="77"/>
      <c r="Y90" s="77"/>
      <c r="Z90" s="77"/>
      <c r="IV90"/>
    </row>
    <row r="91" spans="1:256" s="20" customFormat="1" ht="11.25">
      <c r="A91" s="55"/>
      <c r="B91" s="110"/>
      <c r="D91" s="77"/>
      <c r="E91" s="77"/>
      <c r="F91" s="77"/>
      <c r="G91" s="77"/>
      <c r="I91" s="77"/>
      <c r="J91" s="77"/>
      <c r="K91" s="77"/>
      <c r="L91" s="77"/>
      <c r="M91" s="77"/>
      <c r="N91" s="77"/>
      <c r="O91" s="77"/>
      <c r="P91" s="77"/>
      <c r="Q91" s="77"/>
      <c r="S91" s="78"/>
      <c r="U91" s="110"/>
      <c r="W91" s="77"/>
      <c r="Y91" s="77"/>
      <c r="Z91" s="77"/>
      <c r="IV91"/>
    </row>
    <row r="92" spans="1:256" s="20" customFormat="1" ht="11.25">
      <c r="A92" s="55"/>
      <c r="B92" s="110"/>
      <c r="D92" s="77"/>
      <c r="E92" s="77"/>
      <c r="F92" s="77"/>
      <c r="G92" s="77"/>
      <c r="I92" s="77"/>
      <c r="J92" s="77"/>
      <c r="K92" s="77"/>
      <c r="L92" s="77"/>
      <c r="M92" s="77"/>
      <c r="N92" s="77"/>
      <c r="O92" s="77"/>
      <c r="P92" s="77"/>
      <c r="Q92" s="77"/>
      <c r="S92" s="78"/>
      <c r="U92" s="110"/>
      <c r="W92" s="77"/>
      <c r="Y92" s="77"/>
      <c r="Z92" s="77"/>
      <c r="IV92"/>
    </row>
    <row r="93" spans="1:256" s="20" customFormat="1" ht="11.25">
      <c r="A93" s="55"/>
      <c r="B93" s="110"/>
      <c r="D93" s="77"/>
      <c r="E93" s="77"/>
      <c r="F93" s="77"/>
      <c r="G93" s="77"/>
      <c r="I93" s="77"/>
      <c r="J93" s="77"/>
      <c r="K93" s="77"/>
      <c r="L93" s="77"/>
      <c r="M93" s="77"/>
      <c r="N93" s="77"/>
      <c r="O93" s="77"/>
      <c r="P93" s="77"/>
      <c r="Q93" s="77"/>
      <c r="S93" s="78"/>
      <c r="U93" s="110"/>
      <c r="W93" s="77"/>
      <c r="Y93" s="77"/>
      <c r="Z93" s="77"/>
      <c r="IV93"/>
    </row>
    <row r="94" spans="1:256" s="20" customFormat="1" ht="11.25">
      <c r="A94" s="55"/>
      <c r="B94" s="110"/>
      <c r="D94" s="77"/>
      <c r="E94" s="77"/>
      <c r="F94" s="77"/>
      <c r="G94" s="77"/>
      <c r="I94" s="77"/>
      <c r="J94" s="77"/>
      <c r="K94" s="77"/>
      <c r="L94" s="77"/>
      <c r="M94" s="77"/>
      <c r="N94" s="77"/>
      <c r="O94" s="77"/>
      <c r="P94" s="77"/>
      <c r="Q94" s="77"/>
      <c r="S94" s="78"/>
      <c r="U94" s="110"/>
      <c r="W94" s="77"/>
      <c r="Y94" s="77"/>
      <c r="Z94" s="77"/>
      <c r="IV94"/>
    </row>
    <row r="95" spans="1:256" s="20" customFormat="1" ht="11.25">
      <c r="A95" s="55"/>
      <c r="B95" s="110"/>
      <c r="D95" s="77"/>
      <c r="E95" s="77"/>
      <c r="F95" s="77"/>
      <c r="G95" s="77"/>
      <c r="I95" s="77"/>
      <c r="J95" s="77"/>
      <c r="K95" s="77"/>
      <c r="L95" s="77"/>
      <c r="M95" s="77"/>
      <c r="N95" s="77"/>
      <c r="O95" s="77"/>
      <c r="P95" s="77"/>
      <c r="Q95" s="77"/>
      <c r="S95" s="78"/>
      <c r="U95" s="110"/>
      <c r="W95" s="77"/>
      <c r="Y95" s="77"/>
      <c r="Z95" s="77"/>
      <c r="IV95"/>
    </row>
    <row r="96" spans="1:256" s="20" customFormat="1" ht="11.25">
      <c r="A96" s="55"/>
      <c r="B96" s="110"/>
      <c r="D96" s="77"/>
      <c r="E96" s="77"/>
      <c r="F96" s="77"/>
      <c r="G96" s="77"/>
      <c r="I96" s="77"/>
      <c r="J96" s="77"/>
      <c r="K96" s="77"/>
      <c r="L96" s="77"/>
      <c r="M96" s="77"/>
      <c r="N96" s="77"/>
      <c r="O96" s="77"/>
      <c r="P96" s="77"/>
      <c r="Q96" s="77"/>
      <c r="S96" s="78"/>
      <c r="U96" s="110"/>
      <c r="W96" s="77"/>
      <c r="Y96" s="77"/>
      <c r="Z96" s="77"/>
      <c r="IV96"/>
    </row>
    <row r="97" spans="1:256" s="20" customFormat="1" ht="11.25">
      <c r="A97" s="55"/>
      <c r="B97" s="110"/>
      <c r="D97" s="77"/>
      <c r="E97" s="77"/>
      <c r="F97" s="77"/>
      <c r="G97" s="77"/>
      <c r="I97" s="77"/>
      <c r="J97" s="77"/>
      <c r="K97" s="77"/>
      <c r="L97" s="77"/>
      <c r="M97" s="77"/>
      <c r="N97" s="77"/>
      <c r="O97" s="77"/>
      <c r="P97" s="77"/>
      <c r="Q97" s="77"/>
      <c r="S97" s="78"/>
      <c r="U97" s="110"/>
      <c r="W97" s="77"/>
      <c r="Y97" s="77"/>
      <c r="Z97" s="77"/>
      <c r="IV97"/>
    </row>
    <row r="98" spans="1:256" s="20" customFormat="1" ht="11.25">
      <c r="A98" s="55"/>
      <c r="B98" s="110"/>
      <c r="D98" s="77"/>
      <c r="E98" s="77"/>
      <c r="F98" s="77"/>
      <c r="G98" s="77"/>
      <c r="I98" s="77"/>
      <c r="J98" s="77"/>
      <c r="K98" s="77"/>
      <c r="L98" s="77"/>
      <c r="M98" s="77"/>
      <c r="N98" s="77"/>
      <c r="O98" s="77"/>
      <c r="P98" s="77"/>
      <c r="Q98" s="77"/>
      <c r="S98" s="78"/>
      <c r="U98" s="110"/>
      <c r="W98" s="77"/>
      <c r="Y98" s="77"/>
      <c r="Z98" s="77"/>
      <c r="IV98"/>
    </row>
    <row r="99" spans="1:256" s="20" customFormat="1" ht="11.25">
      <c r="A99" s="55"/>
      <c r="B99" s="110"/>
      <c r="D99" s="77"/>
      <c r="E99" s="77"/>
      <c r="F99" s="77"/>
      <c r="G99" s="77"/>
      <c r="I99" s="77"/>
      <c r="J99" s="77"/>
      <c r="K99" s="77"/>
      <c r="L99" s="77"/>
      <c r="M99" s="77"/>
      <c r="N99" s="77"/>
      <c r="O99" s="77"/>
      <c r="P99" s="77"/>
      <c r="Q99" s="77"/>
      <c r="S99" s="78"/>
      <c r="U99" s="110"/>
      <c r="W99" s="77"/>
      <c r="Y99" s="77"/>
      <c r="Z99" s="77"/>
      <c r="IV99"/>
    </row>
    <row r="100" spans="1:256" s="20" customFormat="1" ht="11.25">
      <c r="A100" s="55"/>
      <c r="B100" s="110"/>
      <c r="D100" s="77"/>
      <c r="E100" s="77"/>
      <c r="F100" s="77"/>
      <c r="G100" s="77"/>
      <c r="I100" s="77"/>
      <c r="J100" s="77"/>
      <c r="K100" s="77"/>
      <c r="L100" s="77"/>
      <c r="M100" s="77"/>
      <c r="N100" s="77"/>
      <c r="O100" s="77"/>
      <c r="P100" s="77"/>
      <c r="Q100" s="77"/>
      <c r="S100" s="78"/>
      <c r="U100" s="110"/>
      <c r="W100" s="77"/>
      <c r="Y100" s="77"/>
      <c r="Z100" s="77"/>
      <c r="IV100"/>
    </row>
    <row r="101" spans="1:256" s="20" customFormat="1" ht="11.25">
      <c r="A101" s="55"/>
      <c r="B101" s="110"/>
      <c r="D101" s="77"/>
      <c r="E101" s="77"/>
      <c r="F101" s="77"/>
      <c r="G101" s="77"/>
      <c r="I101" s="77"/>
      <c r="J101" s="77"/>
      <c r="K101" s="77"/>
      <c r="L101" s="77"/>
      <c r="M101" s="77"/>
      <c r="N101" s="77"/>
      <c r="O101" s="77"/>
      <c r="P101" s="77"/>
      <c r="Q101" s="77"/>
      <c r="S101" s="78"/>
      <c r="U101" s="110"/>
      <c r="W101" s="77"/>
      <c r="Y101" s="77"/>
      <c r="Z101" s="77"/>
      <c r="IV101"/>
    </row>
    <row r="102" spans="1:256" s="20" customFormat="1" ht="11.25">
      <c r="A102" s="55"/>
      <c r="B102" s="110"/>
      <c r="D102" s="77"/>
      <c r="E102" s="77"/>
      <c r="F102" s="77"/>
      <c r="G102" s="77"/>
      <c r="I102" s="77"/>
      <c r="J102" s="77"/>
      <c r="K102" s="77"/>
      <c r="L102" s="77"/>
      <c r="M102" s="77"/>
      <c r="N102" s="77"/>
      <c r="O102" s="77"/>
      <c r="P102" s="77"/>
      <c r="Q102" s="77"/>
      <c r="S102" s="78"/>
      <c r="U102" s="110"/>
      <c r="W102" s="77"/>
      <c r="Y102" s="77"/>
      <c r="Z102" s="77"/>
      <c r="IV102"/>
    </row>
    <row r="103" spans="1:256" s="20" customFormat="1" ht="11.25">
      <c r="A103" s="55"/>
      <c r="B103" s="110"/>
      <c r="D103" s="77"/>
      <c r="E103" s="77"/>
      <c r="F103" s="77"/>
      <c r="G103" s="77"/>
      <c r="I103" s="77"/>
      <c r="J103" s="77"/>
      <c r="K103" s="77"/>
      <c r="L103" s="77"/>
      <c r="M103" s="77"/>
      <c r="N103" s="77"/>
      <c r="O103" s="77"/>
      <c r="P103" s="77"/>
      <c r="Q103" s="77"/>
      <c r="S103" s="78"/>
      <c r="U103" s="110"/>
      <c r="W103" s="77"/>
      <c r="Y103" s="77"/>
      <c r="Z103" s="77"/>
      <c r="IV103"/>
    </row>
    <row r="104" spans="1:256" s="20" customFormat="1" ht="11.25">
      <c r="A104" s="55"/>
      <c r="B104" s="110"/>
      <c r="D104" s="77"/>
      <c r="E104" s="77"/>
      <c r="F104" s="77"/>
      <c r="G104" s="77"/>
      <c r="I104" s="77"/>
      <c r="J104" s="77"/>
      <c r="K104" s="77"/>
      <c r="L104" s="77"/>
      <c r="M104" s="77"/>
      <c r="N104" s="77"/>
      <c r="O104" s="77"/>
      <c r="P104" s="77"/>
      <c r="Q104" s="77"/>
      <c r="S104" s="78"/>
      <c r="U104" s="110"/>
      <c r="W104" s="77"/>
      <c r="Y104" s="77"/>
      <c r="Z104" s="77"/>
      <c r="IV104"/>
    </row>
    <row r="105" spans="1:256" s="20" customFormat="1" ht="11.25">
      <c r="A105" s="55"/>
      <c r="B105" s="110"/>
      <c r="D105" s="77"/>
      <c r="E105" s="77"/>
      <c r="F105" s="77"/>
      <c r="G105" s="77"/>
      <c r="I105" s="77"/>
      <c r="J105" s="77"/>
      <c r="K105" s="77"/>
      <c r="L105" s="77"/>
      <c r="M105" s="77"/>
      <c r="N105" s="77"/>
      <c r="O105" s="77"/>
      <c r="P105" s="77"/>
      <c r="Q105" s="77"/>
      <c r="S105" s="78"/>
      <c r="U105" s="110"/>
      <c r="W105" s="77"/>
      <c r="Y105" s="77"/>
      <c r="Z105" s="77"/>
      <c r="IV105"/>
    </row>
    <row r="106" spans="1:256" s="20" customFormat="1" ht="11.25">
      <c r="A106" s="55"/>
      <c r="B106" s="110"/>
      <c r="D106" s="77"/>
      <c r="E106" s="77"/>
      <c r="F106" s="77"/>
      <c r="G106" s="77"/>
      <c r="I106" s="77"/>
      <c r="J106" s="77"/>
      <c r="K106" s="77"/>
      <c r="L106" s="77"/>
      <c r="M106" s="77"/>
      <c r="N106" s="77"/>
      <c r="O106" s="77"/>
      <c r="P106" s="77"/>
      <c r="Q106" s="77"/>
      <c r="S106" s="78"/>
      <c r="U106" s="110"/>
      <c r="W106" s="77"/>
      <c r="Y106" s="77"/>
      <c r="Z106" s="77"/>
      <c r="IV106"/>
    </row>
    <row r="107" spans="1:256" s="20" customFormat="1" ht="11.25">
      <c r="A107" s="55"/>
      <c r="B107" s="110"/>
      <c r="D107" s="77"/>
      <c r="E107" s="77"/>
      <c r="F107" s="77"/>
      <c r="G107" s="77"/>
      <c r="I107" s="77"/>
      <c r="J107" s="77"/>
      <c r="K107" s="77"/>
      <c r="L107" s="77"/>
      <c r="M107" s="77"/>
      <c r="N107" s="77"/>
      <c r="O107" s="77"/>
      <c r="P107" s="77"/>
      <c r="Q107" s="77"/>
      <c r="S107" s="78"/>
      <c r="U107" s="110"/>
      <c r="W107" s="77"/>
      <c r="Y107" s="77"/>
      <c r="Z107" s="77"/>
      <c r="IV107"/>
    </row>
    <row r="108" spans="1:256" s="20" customFormat="1" ht="11.25">
      <c r="A108" s="55"/>
      <c r="B108" s="110"/>
      <c r="D108" s="77"/>
      <c r="E108" s="77"/>
      <c r="F108" s="77"/>
      <c r="G108" s="77"/>
      <c r="I108" s="77"/>
      <c r="J108" s="77"/>
      <c r="K108" s="77"/>
      <c r="L108" s="77"/>
      <c r="M108" s="77"/>
      <c r="N108" s="77"/>
      <c r="O108" s="77"/>
      <c r="P108" s="77"/>
      <c r="Q108" s="77"/>
      <c r="S108" s="78"/>
      <c r="U108" s="110"/>
      <c r="W108" s="77"/>
      <c r="Y108" s="77"/>
      <c r="Z108" s="77"/>
      <c r="IV108"/>
    </row>
    <row r="109" spans="1:256" s="20" customFormat="1" ht="11.25">
      <c r="A109" s="55"/>
      <c r="B109" s="110"/>
      <c r="D109" s="77"/>
      <c r="E109" s="77"/>
      <c r="F109" s="77"/>
      <c r="G109" s="77"/>
      <c r="I109" s="77"/>
      <c r="J109" s="77"/>
      <c r="K109" s="77"/>
      <c r="L109" s="77"/>
      <c r="M109" s="77"/>
      <c r="N109" s="77"/>
      <c r="O109" s="77"/>
      <c r="P109" s="77"/>
      <c r="Q109" s="77"/>
      <c r="S109" s="78"/>
      <c r="U109" s="110"/>
      <c r="W109" s="77"/>
      <c r="Y109" s="77"/>
      <c r="Z109" s="77"/>
      <c r="IV109"/>
    </row>
    <row r="110" spans="1:256" s="20" customFormat="1" ht="11.25">
      <c r="A110" s="55"/>
      <c r="B110" s="110"/>
      <c r="D110" s="77"/>
      <c r="E110" s="77"/>
      <c r="F110" s="77"/>
      <c r="G110" s="77"/>
      <c r="I110" s="77"/>
      <c r="J110" s="77"/>
      <c r="K110" s="77"/>
      <c r="L110" s="77"/>
      <c r="M110" s="77"/>
      <c r="N110" s="77"/>
      <c r="O110" s="77"/>
      <c r="P110" s="77"/>
      <c r="Q110" s="77"/>
      <c r="S110" s="78"/>
      <c r="U110" s="110"/>
      <c r="W110" s="77"/>
      <c r="Y110" s="77"/>
      <c r="Z110" s="77"/>
      <c r="IV110"/>
    </row>
    <row r="111" spans="1:256" s="20" customFormat="1" ht="11.25">
      <c r="A111" s="55"/>
      <c r="B111" s="110"/>
      <c r="D111" s="77"/>
      <c r="E111" s="77"/>
      <c r="F111" s="77"/>
      <c r="G111" s="77"/>
      <c r="I111" s="77"/>
      <c r="J111" s="77"/>
      <c r="K111" s="77"/>
      <c r="L111" s="77"/>
      <c r="M111" s="77"/>
      <c r="N111" s="77"/>
      <c r="O111" s="77"/>
      <c r="P111" s="77"/>
      <c r="Q111" s="77"/>
      <c r="S111" s="78"/>
      <c r="U111" s="110"/>
      <c r="W111" s="77"/>
      <c r="Y111" s="77"/>
      <c r="Z111" s="77"/>
      <c r="IV111"/>
    </row>
    <row r="112" spans="1:256" s="20" customFormat="1" ht="11.25">
      <c r="A112" s="55"/>
      <c r="B112" s="110"/>
      <c r="D112" s="77"/>
      <c r="E112" s="77"/>
      <c r="F112" s="77"/>
      <c r="G112" s="77"/>
      <c r="I112" s="77"/>
      <c r="J112" s="77"/>
      <c r="K112" s="77"/>
      <c r="L112" s="77"/>
      <c r="M112" s="77"/>
      <c r="N112" s="77"/>
      <c r="O112" s="77"/>
      <c r="P112" s="77"/>
      <c r="Q112" s="77"/>
      <c r="S112" s="78"/>
      <c r="U112" s="110"/>
      <c r="W112" s="77"/>
      <c r="Y112" s="77"/>
      <c r="Z112" s="77"/>
      <c r="IV112"/>
    </row>
    <row r="113" spans="1:256" s="20" customFormat="1" ht="11.25">
      <c r="A113" s="55"/>
      <c r="B113" s="110"/>
      <c r="D113" s="77"/>
      <c r="E113" s="77"/>
      <c r="F113" s="77"/>
      <c r="G113" s="77"/>
      <c r="I113" s="77"/>
      <c r="J113" s="77"/>
      <c r="K113" s="77"/>
      <c r="L113" s="77"/>
      <c r="M113" s="77"/>
      <c r="N113" s="77"/>
      <c r="O113" s="77"/>
      <c r="P113" s="77"/>
      <c r="Q113" s="77"/>
      <c r="S113" s="78"/>
      <c r="U113" s="110"/>
      <c r="W113" s="77"/>
      <c r="Y113" s="77"/>
      <c r="Z113" s="77"/>
      <c r="IV113"/>
    </row>
    <row r="114" spans="1:256" s="20" customFormat="1" ht="11.25">
      <c r="A114" s="55"/>
      <c r="B114" s="110"/>
      <c r="D114" s="77"/>
      <c r="E114" s="77"/>
      <c r="F114" s="77"/>
      <c r="G114" s="77"/>
      <c r="I114" s="77"/>
      <c r="J114" s="77"/>
      <c r="K114" s="77"/>
      <c r="L114" s="77"/>
      <c r="M114" s="77"/>
      <c r="N114" s="77"/>
      <c r="O114" s="77"/>
      <c r="P114" s="77"/>
      <c r="Q114" s="77"/>
      <c r="S114" s="78"/>
      <c r="U114" s="110"/>
      <c r="W114" s="77"/>
      <c r="Y114" s="77"/>
      <c r="Z114" s="77"/>
      <c r="IV114"/>
    </row>
    <row r="115" spans="1:256" s="20" customFormat="1" ht="11.25">
      <c r="A115" s="55"/>
      <c r="B115" s="110"/>
      <c r="D115" s="77"/>
      <c r="E115" s="77"/>
      <c r="F115" s="77"/>
      <c r="G115" s="77"/>
      <c r="I115" s="77"/>
      <c r="J115" s="77"/>
      <c r="K115" s="77"/>
      <c r="L115" s="77"/>
      <c r="M115" s="77"/>
      <c r="N115" s="77"/>
      <c r="O115" s="77"/>
      <c r="P115" s="77"/>
      <c r="Q115" s="77"/>
      <c r="S115" s="78"/>
      <c r="U115" s="110"/>
      <c r="W115" s="77"/>
      <c r="Y115" s="77"/>
      <c r="Z115" s="77"/>
      <c r="IV115"/>
    </row>
    <row r="116" spans="1:256" s="20" customFormat="1" ht="11.25">
      <c r="A116" s="55"/>
      <c r="B116" s="110"/>
      <c r="D116" s="77"/>
      <c r="E116" s="77"/>
      <c r="F116" s="77"/>
      <c r="G116" s="77"/>
      <c r="I116" s="77"/>
      <c r="J116" s="77"/>
      <c r="K116" s="77"/>
      <c r="L116" s="77"/>
      <c r="M116" s="77"/>
      <c r="N116" s="77"/>
      <c r="O116" s="77"/>
      <c r="P116" s="77"/>
      <c r="Q116" s="77"/>
      <c r="S116" s="78"/>
      <c r="U116" s="110"/>
      <c r="W116" s="77"/>
      <c r="Y116" s="77"/>
      <c r="Z116" s="77"/>
      <c r="IV116"/>
    </row>
    <row r="117" spans="1:256" s="20" customFormat="1" ht="11.25">
      <c r="A117" s="55"/>
      <c r="B117" s="110"/>
      <c r="D117" s="77"/>
      <c r="E117" s="77"/>
      <c r="F117" s="77"/>
      <c r="G117" s="77"/>
      <c r="I117" s="77"/>
      <c r="J117" s="77"/>
      <c r="K117" s="77"/>
      <c r="L117" s="77"/>
      <c r="M117" s="77"/>
      <c r="N117" s="77"/>
      <c r="O117" s="77"/>
      <c r="P117" s="77"/>
      <c r="Q117" s="77"/>
      <c r="S117" s="78"/>
      <c r="U117" s="110"/>
      <c r="W117" s="77"/>
      <c r="Y117" s="77"/>
      <c r="Z117" s="77"/>
      <c r="IV117"/>
    </row>
    <row r="118" spans="1:256" s="20" customFormat="1" ht="11.25">
      <c r="A118" s="55"/>
      <c r="B118" s="110"/>
      <c r="D118" s="77"/>
      <c r="E118" s="77"/>
      <c r="F118" s="77"/>
      <c r="G118" s="77"/>
      <c r="I118" s="77"/>
      <c r="J118" s="77"/>
      <c r="K118" s="77"/>
      <c r="L118" s="77"/>
      <c r="M118" s="77"/>
      <c r="N118" s="77"/>
      <c r="O118" s="77"/>
      <c r="P118" s="77"/>
      <c r="Q118" s="77"/>
      <c r="S118" s="78"/>
      <c r="U118" s="110"/>
      <c r="W118" s="77"/>
      <c r="Y118" s="77"/>
      <c r="Z118" s="77"/>
      <c r="IV118"/>
    </row>
    <row r="119" spans="1:256" s="20" customFormat="1" ht="11.25">
      <c r="A119" s="55"/>
      <c r="B119" s="110"/>
      <c r="D119" s="77"/>
      <c r="E119" s="77"/>
      <c r="F119" s="77"/>
      <c r="G119" s="77"/>
      <c r="I119" s="77"/>
      <c r="J119" s="77"/>
      <c r="K119" s="77"/>
      <c r="L119" s="77"/>
      <c r="M119" s="77"/>
      <c r="N119" s="77"/>
      <c r="O119" s="77"/>
      <c r="P119" s="77"/>
      <c r="Q119" s="77"/>
      <c r="S119" s="78"/>
      <c r="U119" s="110"/>
      <c r="W119" s="77"/>
      <c r="Y119" s="77"/>
      <c r="Z119" s="77"/>
      <c r="IV119"/>
    </row>
    <row r="120" spans="1:256" s="20" customFormat="1" ht="11.25">
      <c r="A120" s="55"/>
      <c r="B120" s="110"/>
      <c r="D120" s="77"/>
      <c r="E120" s="77"/>
      <c r="F120" s="77"/>
      <c r="G120" s="77"/>
      <c r="I120" s="77"/>
      <c r="J120" s="77"/>
      <c r="K120" s="77"/>
      <c r="L120" s="77"/>
      <c r="M120" s="77"/>
      <c r="N120" s="77"/>
      <c r="O120" s="77"/>
      <c r="P120" s="77"/>
      <c r="Q120" s="77"/>
      <c r="S120" s="78"/>
      <c r="U120" s="110"/>
      <c r="W120" s="77"/>
      <c r="Y120" s="77"/>
      <c r="Z120" s="77"/>
      <c r="IV120"/>
    </row>
    <row r="121" spans="1:256" s="20" customFormat="1" ht="11.25">
      <c r="A121" s="55"/>
      <c r="B121" s="110"/>
      <c r="D121" s="77"/>
      <c r="E121" s="77"/>
      <c r="F121" s="77"/>
      <c r="G121" s="77"/>
      <c r="I121" s="77"/>
      <c r="J121" s="77"/>
      <c r="K121" s="77"/>
      <c r="L121" s="77"/>
      <c r="M121" s="77"/>
      <c r="N121" s="77"/>
      <c r="O121" s="77"/>
      <c r="P121" s="77"/>
      <c r="Q121" s="77"/>
      <c r="S121" s="78"/>
      <c r="U121" s="110"/>
      <c r="W121" s="77"/>
      <c r="Y121" s="77"/>
      <c r="Z121" s="77"/>
      <c r="IV121"/>
    </row>
    <row r="122" spans="1:256" s="20" customFormat="1" ht="11.25">
      <c r="A122" s="55"/>
      <c r="B122" s="110"/>
      <c r="D122" s="77"/>
      <c r="E122" s="77"/>
      <c r="F122" s="77"/>
      <c r="G122" s="77"/>
      <c r="I122" s="77"/>
      <c r="J122" s="77"/>
      <c r="K122" s="77"/>
      <c r="L122" s="77"/>
      <c r="M122" s="77"/>
      <c r="N122" s="77"/>
      <c r="O122" s="77"/>
      <c r="P122" s="77"/>
      <c r="Q122" s="77"/>
      <c r="S122" s="78"/>
      <c r="U122" s="110"/>
      <c r="W122" s="77"/>
      <c r="Y122" s="77"/>
      <c r="Z122" s="77"/>
      <c r="IV122"/>
    </row>
    <row r="123" spans="1:256" s="20" customFormat="1" ht="11.25">
      <c r="A123" s="55"/>
      <c r="B123" s="110"/>
      <c r="D123" s="77"/>
      <c r="E123" s="77"/>
      <c r="F123" s="77"/>
      <c r="G123" s="77"/>
      <c r="I123" s="77"/>
      <c r="J123" s="77"/>
      <c r="K123" s="77"/>
      <c r="L123" s="77"/>
      <c r="M123" s="77"/>
      <c r="N123" s="77"/>
      <c r="O123" s="77"/>
      <c r="P123" s="77"/>
      <c r="Q123" s="77"/>
      <c r="S123" s="78"/>
      <c r="U123" s="110"/>
      <c r="W123" s="77"/>
      <c r="Y123" s="77"/>
      <c r="Z123" s="77"/>
      <c r="IV123"/>
    </row>
    <row r="124" spans="1:256" s="20" customFormat="1" ht="11.25">
      <c r="A124" s="55"/>
      <c r="B124" s="110"/>
      <c r="D124" s="77"/>
      <c r="E124" s="77"/>
      <c r="F124" s="77"/>
      <c r="G124" s="77"/>
      <c r="I124" s="77"/>
      <c r="J124" s="77"/>
      <c r="K124" s="77"/>
      <c r="L124" s="77"/>
      <c r="M124" s="77"/>
      <c r="N124" s="77"/>
      <c r="O124" s="77"/>
      <c r="P124" s="77"/>
      <c r="Q124" s="77"/>
      <c r="S124" s="78"/>
      <c r="U124" s="110"/>
      <c r="W124" s="77"/>
      <c r="Y124" s="77"/>
      <c r="Z124" s="77"/>
      <c r="IV124"/>
    </row>
    <row r="125" spans="1:256" s="20" customFormat="1" ht="11.25">
      <c r="A125" s="55"/>
      <c r="B125" s="110"/>
      <c r="D125" s="77"/>
      <c r="E125" s="77"/>
      <c r="F125" s="77"/>
      <c r="G125" s="77"/>
      <c r="I125" s="77"/>
      <c r="J125" s="77"/>
      <c r="K125" s="77"/>
      <c r="L125" s="77"/>
      <c r="M125" s="77"/>
      <c r="N125" s="77"/>
      <c r="O125" s="77"/>
      <c r="P125" s="77"/>
      <c r="Q125" s="77"/>
      <c r="S125" s="78"/>
      <c r="U125" s="110"/>
      <c r="W125" s="77"/>
      <c r="Y125" s="77"/>
      <c r="Z125" s="77"/>
      <c r="IV125"/>
    </row>
    <row r="126" spans="1:256" s="20" customFormat="1" ht="11.25">
      <c r="A126" s="55"/>
      <c r="B126" s="110"/>
      <c r="D126" s="77"/>
      <c r="E126" s="77"/>
      <c r="F126" s="77"/>
      <c r="G126" s="77"/>
      <c r="I126" s="77"/>
      <c r="J126" s="77"/>
      <c r="K126" s="77"/>
      <c r="L126" s="77"/>
      <c r="M126" s="77"/>
      <c r="N126" s="77"/>
      <c r="O126" s="77"/>
      <c r="P126" s="77"/>
      <c r="Q126" s="77"/>
      <c r="S126" s="78"/>
      <c r="U126" s="110"/>
      <c r="W126" s="77"/>
      <c r="Y126" s="77"/>
      <c r="Z126" s="77"/>
      <c r="IV126"/>
    </row>
    <row r="127" spans="1:256" s="20" customFormat="1" ht="11.25">
      <c r="A127" s="55"/>
      <c r="B127" s="110"/>
      <c r="D127" s="77"/>
      <c r="E127" s="77"/>
      <c r="F127" s="77"/>
      <c r="G127" s="77"/>
      <c r="I127" s="77"/>
      <c r="J127" s="77"/>
      <c r="K127" s="77"/>
      <c r="L127" s="77"/>
      <c r="M127" s="77"/>
      <c r="N127" s="77"/>
      <c r="O127" s="77"/>
      <c r="P127" s="77"/>
      <c r="Q127" s="77"/>
      <c r="S127" s="78"/>
      <c r="U127" s="110"/>
      <c r="W127" s="77"/>
      <c r="Y127" s="77"/>
      <c r="Z127" s="77"/>
      <c r="IV127"/>
    </row>
    <row r="128" spans="1:256" s="20" customFormat="1" ht="11.25">
      <c r="A128" s="55"/>
      <c r="B128" s="110"/>
      <c r="D128" s="77"/>
      <c r="E128" s="77"/>
      <c r="F128" s="77"/>
      <c r="G128" s="77"/>
      <c r="I128" s="77"/>
      <c r="J128" s="77"/>
      <c r="K128" s="77"/>
      <c r="L128" s="77"/>
      <c r="M128" s="77"/>
      <c r="N128" s="77"/>
      <c r="O128" s="77"/>
      <c r="P128" s="77"/>
      <c r="Q128" s="77"/>
      <c r="S128" s="78"/>
      <c r="U128" s="110"/>
      <c r="W128" s="77"/>
      <c r="Y128" s="77"/>
      <c r="Z128" s="77"/>
      <c r="IV128"/>
    </row>
    <row r="129" spans="1:256" s="20" customFormat="1" ht="11.25">
      <c r="A129" s="55"/>
      <c r="B129" s="110"/>
      <c r="D129" s="77"/>
      <c r="E129" s="77"/>
      <c r="F129" s="77"/>
      <c r="G129" s="77"/>
      <c r="I129" s="77"/>
      <c r="J129" s="77"/>
      <c r="K129" s="77"/>
      <c r="L129" s="77"/>
      <c r="M129" s="77"/>
      <c r="N129" s="77"/>
      <c r="O129" s="77"/>
      <c r="P129" s="77"/>
      <c r="Q129" s="77"/>
      <c r="S129" s="78"/>
      <c r="U129" s="110"/>
      <c r="W129" s="77"/>
      <c r="Y129" s="77"/>
      <c r="Z129" s="77"/>
      <c r="IV129"/>
    </row>
    <row r="130" spans="1:256" s="20" customFormat="1" ht="11.25">
      <c r="A130" s="55"/>
      <c r="B130" s="110"/>
      <c r="D130" s="77"/>
      <c r="E130" s="77"/>
      <c r="F130" s="77"/>
      <c r="G130" s="77"/>
      <c r="I130" s="77"/>
      <c r="J130" s="77"/>
      <c r="K130" s="77"/>
      <c r="L130" s="77"/>
      <c r="M130" s="77"/>
      <c r="N130" s="77"/>
      <c r="O130" s="77"/>
      <c r="P130" s="77"/>
      <c r="Q130" s="77"/>
      <c r="S130" s="78"/>
      <c r="U130" s="110"/>
      <c r="W130" s="77"/>
      <c r="Y130" s="77"/>
      <c r="Z130" s="77"/>
      <c r="IV130"/>
    </row>
    <row r="131" spans="1:256" s="20" customFormat="1" ht="11.25">
      <c r="A131" s="55"/>
      <c r="B131" s="110"/>
      <c r="D131" s="77"/>
      <c r="E131" s="77"/>
      <c r="F131" s="77"/>
      <c r="G131" s="77"/>
      <c r="I131" s="77"/>
      <c r="J131" s="77"/>
      <c r="K131" s="77"/>
      <c r="L131" s="77"/>
      <c r="M131" s="77"/>
      <c r="N131" s="77"/>
      <c r="O131" s="77"/>
      <c r="P131" s="77"/>
      <c r="Q131" s="77"/>
      <c r="S131" s="78"/>
      <c r="U131" s="110"/>
      <c r="W131" s="77"/>
      <c r="Y131" s="77"/>
      <c r="Z131" s="77"/>
      <c r="IV131"/>
    </row>
    <row r="132" spans="1:256" s="20" customFormat="1" ht="11.25">
      <c r="A132" s="55"/>
      <c r="B132" s="110"/>
      <c r="D132" s="77"/>
      <c r="E132" s="77"/>
      <c r="F132" s="77"/>
      <c r="G132" s="77"/>
      <c r="I132" s="77"/>
      <c r="J132" s="77"/>
      <c r="K132" s="77"/>
      <c r="L132" s="77"/>
      <c r="M132" s="77"/>
      <c r="N132" s="77"/>
      <c r="O132" s="77"/>
      <c r="P132" s="77"/>
      <c r="Q132" s="77"/>
      <c r="S132" s="78"/>
      <c r="U132" s="110"/>
      <c r="W132" s="77"/>
      <c r="Y132" s="77"/>
      <c r="Z132" s="77"/>
      <c r="IV132"/>
    </row>
    <row r="133" spans="1:256" s="20" customFormat="1" ht="11.25">
      <c r="A133" s="55"/>
      <c r="B133" s="110"/>
      <c r="D133" s="77"/>
      <c r="E133" s="77"/>
      <c r="F133" s="77"/>
      <c r="G133" s="77"/>
      <c r="I133" s="77"/>
      <c r="J133" s="77"/>
      <c r="K133" s="77"/>
      <c r="L133" s="77"/>
      <c r="M133" s="77"/>
      <c r="N133" s="77"/>
      <c r="O133" s="77"/>
      <c r="P133" s="77"/>
      <c r="Q133" s="77"/>
      <c r="S133" s="78"/>
      <c r="U133" s="110"/>
      <c r="W133" s="77"/>
      <c r="Y133" s="77"/>
      <c r="Z133" s="77"/>
      <c r="IV133"/>
    </row>
    <row r="134" spans="1:256" s="20" customFormat="1" ht="11.25">
      <c r="A134" s="55"/>
      <c r="B134" s="110"/>
      <c r="D134" s="77"/>
      <c r="E134" s="77"/>
      <c r="F134" s="77"/>
      <c r="G134" s="77"/>
      <c r="I134" s="77"/>
      <c r="J134" s="77"/>
      <c r="K134" s="77"/>
      <c r="L134" s="77"/>
      <c r="M134" s="77"/>
      <c r="N134" s="77"/>
      <c r="O134" s="77"/>
      <c r="P134" s="77"/>
      <c r="Q134" s="77"/>
      <c r="S134" s="78"/>
      <c r="U134" s="110"/>
      <c r="W134" s="77"/>
      <c r="Y134" s="77"/>
      <c r="Z134" s="77"/>
      <c r="IV134"/>
    </row>
    <row r="135" spans="1:256" s="20" customFormat="1" ht="11.25">
      <c r="A135" s="55"/>
      <c r="B135" s="110"/>
      <c r="D135" s="77"/>
      <c r="E135" s="77"/>
      <c r="F135" s="77"/>
      <c r="G135" s="77"/>
      <c r="I135" s="77"/>
      <c r="J135" s="77"/>
      <c r="K135" s="77"/>
      <c r="L135" s="77"/>
      <c r="M135" s="77"/>
      <c r="N135" s="77"/>
      <c r="O135" s="77"/>
      <c r="P135" s="77"/>
      <c r="Q135" s="77"/>
      <c r="S135" s="78"/>
      <c r="U135" s="110"/>
      <c r="W135" s="77"/>
      <c r="Y135" s="77"/>
      <c r="Z135" s="77"/>
      <c r="IV135"/>
    </row>
    <row r="136" spans="1:256" s="20" customFormat="1" ht="11.25">
      <c r="A136" s="55"/>
      <c r="B136" s="110"/>
      <c r="D136" s="77"/>
      <c r="E136" s="77"/>
      <c r="F136" s="77"/>
      <c r="G136" s="77"/>
      <c r="I136" s="77"/>
      <c r="J136" s="77"/>
      <c r="K136" s="77"/>
      <c r="L136" s="77"/>
      <c r="M136" s="77"/>
      <c r="N136" s="77"/>
      <c r="O136" s="77"/>
      <c r="P136" s="77"/>
      <c r="Q136" s="77"/>
      <c r="S136" s="78"/>
      <c r="U136" s="110"/>
      <c r="W136" s="77"/>
      <c r="Y136" s="77"/>
      <c r="Z136" s="77"/>
      <c r="IV136"/>
    </row>
    <row r="137" spans="1:256" s="20" customFormat="1" ht="11.25">
      <c r="A137" s="55"/>
      <c r="B137" s="110"/>
      <c r="D137" s="77"/>
      <c r="E137" s="77"/>
      <c r="F137" s="77"/>
      <c r="G137" s="77"/>
      <c r="I137" s="77"/>
      <c r="J137" s="77"/>
      <c r="K137" s="77"/>
      <c r="L137" s="77"/>
      <c r="M137" s="77"/>
      <c r="N137" s="77"/>
      <c r="O137" s="77"/>
      <c r="P137" s="77"/>
      <c r="Q137" s="77"/>
      <c r="S137" s="78"/>
      <c r="U137" s="110"/>
      <c r="W137" s="77"/>
      <c r="Y137" s="77"/>
      <c r="Z137" s="77"/>
      <c r="IV137"/>
    </row>
    <row r="138" spans="1:256" s="20" customFormat="1" ht="11.25">
      <c r="A138" s="55"/>
      <c r="B138" s="110"/>
      <c r="D138" s="77"/>
      <c r="E138" s="77"/>
      <c r="F138" s="77"/>
      <c r="G138" s="77"/>
      <c r="I138" s="77"/>
      <c r="J138" s="77"/>
      <c r="K138" s="77"/>
      <c r="L138" s="77"/>
      <c r="M138" s="77"/>
      <c r="N138" s="77"/>
      <c r="O138" s="77"/>
      <c r="P138" s="77"/>
      <c r="Q138" s="77"/>
      <c r="S138" s="78"/>
      <c r="U138" s="110"/>
      <c r="W138" s="77"/>
      <c r="Y138" s="77"/>
      <c r="Z138" s="77"/>
      <c r="IV138"/>
    </row>
    <row r="139" spans="1:256" s="20" customFormat="1" ht="11.25">
      <c r="A139" s="55"/>
      <c r="B139" s="110"/>
      <c r="D139" s="77"/>
      <c r="E139" s="77"/>
      <c r="F139" s="77"/>
      <c r="G139" s="77"/>
      <c r="I139" s="77"/>
      <c r="J139" s="77"/>
      <c r="K139" s="77"/>
      <c r="L139" s="77"/>
      <c r="M139" s="77"/>
      <c r="N139" s="77"/>
      <c r="O139" s="77"/>
      <c r="P139" s="77"/>
      <c r="Q139" s="77"/>
      <c r="S139" s="78"/>
      <c r="U139" s="110"/>
      <c r="W139" s="77"/>
      <c r="Y139" s="77"/>
      <c r="Z139" s="77"/>
      <c r="IV139"/>
    </row>
    <row r="140" spans="1:256" s="20" customFormat="1" ht="11.25">
      <c r="A140" s="55"/>
      <c r="B140" s="110"/>
      <c r="D140" s="77"/>
      <c r="E140" s="77"/>
      <c r="F140" s="77"/>
      <c r="G140" s="77"/>
      <c r="I140" s="77"/>
      <c r="J140" s="77"/>
      <c r="K140" s="77"/>
      <c r="L140" s="77"/>
      <c r="M140" s="77"/>
      <c r="N140" s="77"/>
      <c r="O140" s="77"/>
      <c r="P140" s="77"/>
      <c r="Q140" s="77"/>
      <c r="S140" s="78"/>
      <c r="U140" s="110"/>
      <c r="W140" s="77"/>
      <c r="Y140" s="77"/>
      <c r="Z140" s="77"/>
      <c r="IV140"/>
    </row>
    <row r="141" spans="1:256" s="20" customFormat="1" ht="11.25">
      <c r="A141" s="55"/>
      <c r="B141" s="110"/>
      <c r="D141" s="77"/>
      <c r="E141" s="77"/>
      <c r="F141" s="77"/>
      <c r="G141" s="77"/>
      <c r="I141" s="77"/>
      <c r="J141" s="77"/>
      <c r="K141" s="77"/>
      <c r="L141" s="77"/>
      <c r="M141" s="77"/>
      <c r="N141" s="77"/>
      <c r="O141" s="77"/>
      <c r="P141" s="77"/>
      <c r="Q141" s="77"/>
      <c r="S141" s="78"/>
      <c r="U141" s="110"/>
      <c r="W141" s="77"/>
      <c r="Y141" s="77"/>
      <c r="Z141" s="77"/>
      <c r="IV141"/>
    </row>
    <row r="142" spans="1:256" s="20" customFormat="1" ht="11.25">
      <c r="A142" s="55"/>
      <c r="B142" s="110"/>
      <c r="D142" s="77"/>
      <c r="E142" s="77"/>
      <c r="F142" s="77"/>
      <c r="G142" s="77"/>
      <c r="I142" s="77"/>
      <c r="J142" s="77"/>
      <c r="K142" s="77"/>
      <c r="L142" s="77"/>
      <c r="M142" s="77"/>
      <c r="N142" s="77"/>
      <c r="O142" s="77"/>
      <c r="P142" s="77"/>
      <c r="Q142" s="77"/>
      <c r="S142" s="78"/>
      <c r="U142" s="110"/>
      <c r="W142" s="77"/>
      <c r="Y142" s="77"/>
      <c r="Z142" s="77"/>
      <c r="IV142"/>
    </row>
    <row r="143" spans="1:256" s="20" customFormat="1" ht="11.25">
      <c r="A143" s="55"/>
      <c r="B143" s="110"/>
      <c r="D143" s="77"/>
      <c r="E143" s="77"/>
      <c r="F143" s="77"/>
      <c r="G143" s="77"/>
      <c r="I143" s="77"/>
      <c r="J143" s="77"/>
      <c r="K143" s="77"/>
      <c r="L143" s="77"/>
      <c r="M143" s="77"/>
      <c r="N143" s="77"/>
      <c r="O143" s="77"/>
      <c r="P143" s="77"/>
      <c r="Q143" s="77"/>
      <c r="S143" s="78"/>
      <c r="U143" s="110"/>
      <c r="W143" s="77"/>
      <c r="Y143" s="77"/>
      <c r="Z143" s="77"/>
      <c r="IV143"/>
    </row>
    <row r="144" spans="1:256" s="20" customFormat="1" ht="11.25">
      <c r="A144" s="55"/>
      <c r="B144" s="110"/>
      <c r="D144" s="77"/>
      <c r="E144" s="77"/>
      <c r="F144" s="77"/>
      <c r="G144" s="77"/>
      <c r="I144" s="77"/>
      <c r="J144" s="77"/>
      <c r="K144" s="77"/>
      <c r="L144" s="77"/>
      <c r="M144" s="77"/>
      <c r="N144" s="77"/>
      <c r="O144" s="77"/>
      <c r="P144" s="77"/>
      <c r="Q144" s="77"/>
      <c r="S144" s="78"/>
      <c r="U144" s="110"/>
      <c r="W144" s="77"/>
      <c r="Y144" s="77"/>
      <c r="Z144" s="77"/>
      <c r="IV144"/>
    </row>
    <row r="145" spans="1:256" s="20" customFormat="1" ht="11.25">
      <c r="A145" s="55"/>
      <c r="B145" s="110"/>
      <c r="D145" s="77"/>
      <c r="E145" s="77"/>
      <c r="F145" s="77"/>
      <c r="G145" s="77"/>
      <c r="I145" s="77"/>
      <c r="J145" s="77"/>
      <c r="K145" s="77"/>
      <c r="L145" s="77"/>
      <c r="M145" s="77"/>
      <c r="N145" s="77"/>
      <c r="O145" s="77"/>
      <c r="P145" s="77"/>
      <c r="Q145" s="77"/>
      <c r="S145" s="78"/>
      <c r="U145" s="110"/>
      <c r="W145" s="77"/>
      <c r="Y145" s="77"/>
      <c r="Z145" s="77"/>
      <c r="IV145"/>
    </row>
    <row r="146" spans="1:256" s="20" customFormat="1" ht="11.25">
      <c r="A146" s="55"/>
      <c r="B146" s="110"/>
      <c r="D146" s="77"/>
      <c r="E146" s="77"/>
      <c r="F146" s="77"/>
      <c r="G146" s="77"/>
      <c r="I146" s="77"/>
      <c r="J146" s="77"/>
      <c r="K146" s="77"/>
      <c r="L146" s="77"/>
      <c r="M146" s="77"/>
      <c r="N146" s="77"/>
      <c r="O146" s="77"/>
      <c r="P146" s="77"/>
      <c r="Q146" s="77"/>
      <c r="S146" s="78"/>
      <c r="U146" s="110"/>
      <c r="W146" s="77"/>
      <c r="Y146" s="77"/>
      <c r="Z146" s="77"/>
      <c r="IV146"/>
    </row>
    <row r="147" spans="1:256" s="20" customFormat="1" ht="11.25">
      <c r="A147" s="55"/>
      <c r="B147" s="110"/>
      <c r="D147" s="77"/>
      <c r="E147" s="77"/>
      <c r="F147" s="77"/>
      <c r="G147" s="77"/>
      <c r="I147" s="77"/>
      <c r="J147" s="77"/>
      <c r="K147" s="77"/>
      <c r="L147" s="77"/>
      <c r="M147" s="77"/>
      <c r="N147" s="77"/>
      <c r="O147" s="77"/>
      <c r="P147" s="77"/>
      <c r="Q147" s="77"/>
      <c r="S147" s="78"/>
      <c r="U147" s="110"/>
      <c r="W147" s="77"/>
      <c r="Y147" s="77"/>
      <c r="Z147" s="77"/>
      <c r="IV147"/>
    </row>
    <row r="148" spans="1:256" s="20" customFormat="1" ht="11.25">
      <c r="A148" s="55"/>
      <c r="B148" s="110"/>
      <c r="D148" s="77"/>
      <c r="E148" s="77"/>
      <c r="F148" s="77"/>
      <c r="G148" s="77"/>
      <c r="I148" s="77"/>
      <c r="J148" s="77"/>
      <c r="K148" s="77"/>
      <c r="L148" s="77"/>
      <c r="M148" s="77"/>
      <c r="N148" s="77"/>
      <c r="O148" s="77"/>
      <c r="P148" s="77"/>
      <c r="Q148" s="77"/>
      <c r="S148" s="78"/>
      <c r="U148" s="110"/>
      <c r="W148" s="77"/>
      <c r="Y148" s="77"/>
      <c r="Z148" s="77"/>
      <c r="IV148"/>
    </row>
    <row r="149" spans="1:256" s="20" customFormat="1" ht="11.25">
      <c r="A149" s="55"/>
      <c r="B149" s="110"/>
      <c r="D149" s="77"/>
      <c r="E149" s="77"/>
      <c r="F149" s="77"/>
      <c r="G149" s="77"/>
      <c r="I149" s="77"/>
      <c r="J149" s="77"/>
      <c r="K149" s="77"/>
      <c r="L149" s="77"/>
      <c r="M149" s="77"/>
      <c r="N149" s="77"/>
      <c r="O149" s="77"/>
      <c r="P149" s="77"/>
      <c r="Q149" s="77"/>
      <c r="S149" s="78"/>
      <c r="U149" s="110"/>
      <c r="W149" s="77"/>
      <c r="Y149" s="77"/>
      <c r="Z149" s="77"/>
      <c r="IV149"/>
    </row>
    <row r="150" spans="1:256" s="20" customFormat="1" ht="11.25">
      <c r="A150" s="55"/>
      <c r="B150" s="110"/>
      <c r="D150" s="77"/>
      <c r="E150" s="77"/>
      <c r="F150" s="77"/>
      <c r="G150" s="77"/>
      <c r="I150" s="77"/>
      <c r="J150" s="77"/>
      <c r="K150" s="77"/>
      <c r="L150" s="77"/>
      <c r="M150" s="77"/>
      <c r="N150" s="77"/>
      <c r="O150" s="77"/>
      <c r="P150" s="77"/>
      <c r="Q150" s="77"/>
      <c r="S150" s="78"/>
      <c r="U150" s="110"/>
      <c r="W150" s="77"/>
      <c r="Y150" s="77"/>
      <c r="Z150" s="77"/>
      <c r="IV150"/>
    </row>
    <row r="151" spans="1:256" s="20" customFormat="1" ht="11.25">
      <c r="A151" s="55"/>
      <c r="B151" s="110"/>
      <c r="D151" s="77"/>
      <c r="E151" s="77"/>
      <c r="F151" s="77"/>
      <c r="G151" s="77"/>
      <c r="I151" s="77"/>
      <c r="J151" s="77"/>
      <c r="K151" s="77"/>
      <c r="L151" s="77"/>
      <c r="M151" s="77"/>
      <c r="N151" s="77"/>
      <c r="O151" s="77"/>
      <c r="P151" s="77"/>
      <c r="Q151" s="77"/>
      <c r="S151" s="78"/>
      <c r="U151" s="110"/>
      <c r="W151" s="77"/>
      <c r="Y151" s="77"/>
      <c r="Z151" s="77"/>
      <c r="IV151"/>
    </row>
    <row r="152" spans="1:256" s="20" customFormat="1" ht="11.25">
      <c r="A152" s="55"/>
      <c r="B152" s="110"/>
      <c r="D152" s="77"/>
      <c r="E152" s="77"/>
      <c r="F152" s="77"/>
      <c r="G152" s="77"/>
      <c r="I152" s="77"/>
      <c r="J152" s="77"/>
      <c r="K152" s="77"/>
      <c r="L152" s="77"/>
      <c r="M152" s="77"/>
      <c r="N152" s="77"/>
      <c r="O152" s="77"/>
      <c r="P152" s="77"/>
      <c r="Q152" s="77"/>
      <c r="S152" s="78"/>
      <c r="U152" s="110"/>
      <c r="W152" s="77"/>
      <c r="Y152" s="77"/>
      <c r="Z152" s="77"/>
      <c r="IV152"/>
    </row>
    <row r="153" spans="1:256" s="20" customFormat="1" ht="11.25">
      <c r="A153" s="55"/>
      <c r="B153" s="110"/>
      <c r="D153" s="77"/>
      <c r="E153" s="77"/>
      <c r="F153" s="77"/>
      <c r="G153" s="77"/>
      <c r="I153" s="77"/>
      <c r="J153" s="77"/>
      <c r="K153" s="77"/>
      <c r="L153" s="77"/>
      <c r="M153" s="77"/>
      <c r="N153" s="77"/>
      <c r="O153" s="77"/>
      <c r="P153" s="77"/>
      <c r="Q153" s="77"/>
      <c r="S153" s="78"/>
      <c r="U153" s="110"/>
      <c r="W153" s="77"/>
      <c r="Y153" s="77"/>
      <c r="Z153" s="77"/>
      <c r="IV153"/>
    </row>
    <row r="154" spans="1:256" s="20" customFormat="1" ht="11.25">
      <c r="A154" s="55"/>
      <c r="B154" s="110"/>
      <c r="D154" s="77"/>
      <c r="E154" s="77"/>
      <c r="F154" s="77"/>
      <c r="G154" s="77"/>
      <c r="I154" s="77"/>
      <c r="J154" s="77"/>
      <c r="K154" s="77"/>
      <c r="L154" s="77"/>
      <c r="M154" s="77"/>
      <c r="N154" s="77"/>
      <c r="O154" s="77"/>
      <c r="P154" s="77"/>
      <c r="Q154" s="77"/>
      <c r="S154" s="78"/>
      <c r="U154" s="110"/>
      <c r="W154" s="77"/>
      <c r="Y154" s="77"/>
      <c r="Z154" s="77"/>
      <c r="IV154"/>
    </row>
    <row r="155" spans="1:256" s="20" customFormat="1" ht="11.25">
      <c r="A155" s="55"/>
      <c r="B155" s="110"/>
      <c r="D155" s="77"/>
      <c r="E155" s="77"/>
      <c r="F155" s="77"/>
      <c r="G155" s="77"/>
      <c r="I155" s="77"/>
      <c r="J155" s="77"/>
      <c r="K155" s="77"/>
      <c r="L155" s="77"/>
      <c r="M155" s="77"/>
      <c r="N155" s="77"/>
      <c r="O155" s="77"/>
      <c r="P155" s="77"/>
      <c r="Q155" s="77"/>
      <c r="S155" s="78"/>
      <c r="U155" s="110"/>
      <c r="W155" s="77"/>
      <c r="Y155" s="77"/>
      <c r="Z155" s="77"/>
      <c r="IV155"/>
    </row>
    <row r="156" spans="1:256" s="20" customFormat="1" ht="11.25">
      <c r="A156" s="55"/>
      <c r="B156" s="110"/>
      <c r="D156" s="77"/>
      <c r="E156" s="77"/>
      <c r="F156" s="77"/>
      <c r="G156" s="77"/>
      <c r="I156" s="77"/>
      <c r="J156" s="77"/>
      <c r="K156" s="77"/>
      <c r="L156" s="77"/>
      <c r="M156" s="77"/>
      <c r="N156" s="77"/>
      <c r="O156" s="77"/>
      <c r="P156" s="77"/>
      <c r="Q156" s="77"/>
      <c r="S156" s="78"/>
      <c r="U156" s="110"/>
      <c r="W156" s="77"/>
      <c r="Y156" s="77"/>
      <c r="Z156" s="77"/>
      <c r="IV156"/>
    </row>
    <row r="157" spans="1:256" s="20" customFormat="1" ht="11.25">
      <c r="A157" s="55"/>
      <c r="B157" s="110"/>
      <c r="D157" s="77"/>
      <c r="E157" s="77"/>
      <c r="F157" s="77"/>
      <c r="G157" s="77"/>
      <c r="I157" s="77"/>
      <c r="J157" s="77"/>
      <c r="K157" s="77"/>
      <c r="L157" s="77"/>
      <c r="M157" s="77"/>
      <c r="N157" s="77"/>
      <c r="O157" s="77"/>
      <c r="P157" s="77"/>
      <c r="Q157" s="77"/>
      <c r="S157" s="78"/>
      <c r="U157" s="110"/>
      <c r="W157" s="77"/>
      <c r="Y157" s="77"/>
      <c r="Z157" s="77"/>
      <c r="IV157"/>
    </row>
    <row r="158" spans="1:256" s="20" customFormat="1" ht="11.25">
      <c r="A158" s="55"/>
      <c r="B158" s="110"/>
      <c r="D158" s="77"/>
      <c r="E158" s="77"/>
      <c r="F158" s="77"/>
      <c r="G158" s="77"/>
      <c r="I158" s="77"/>
      <c r="J158" s="77"/>
      <c r="K158" s="77"/>
      <c r="L158" s="77"/>
      <c r="M158" s="77"/>
      <c r="N158" s="77"/>
      <c r="O158" s="77"/>
      <c r="P158" s="77"/>
      <c r="Q158" s="77"/>
      <c r="S158" s="78"/>
      <c r="U158" s="110"/>
      <c r="W158" s="77"/>
      <c r="Y158" s="77"/>
      <c r="Z158" s="77"/>
      <c r="IV158"/>
    </row>
    <row r="159" spans="1:256" s="20" customFormat="1" ht="11.25">
      <c r="A159" s="55"/>
      <c r="B159" s="110"/>
      <c r="D159" s="77"/>
      <c r="E159" s="77"/>
      <c r="F159" s="77"/>
      <c r="G159" s="77"/>
      <c r="I159" s="77"/>
      <c r="J159" s="77"/>
      <c r="K159" s="77"/>
      <c r="L159" s="77"/>
      <c r="M159" s="77"/>
      <c r="N159" s="77"/>
      <c r="O159" s="77"/>
      <c r="P159" s="77"/>
      <c r="Q159" s="77"/>
      <c r="S159" s="78"/>
      <c r="U159" s="110"/>
      <c r="W159" s="77"/>
      <c r="Y159" s="77"/>
      <c r="Z159" s="77"/>
      <c r="IV159"/>
    </row>
    <row r="160" spans="1:256" s="20" customFormat="1" ht="11.25">
      <c r="A160" s="55"/>
      <c r="B160" s="110"/>
      <c r="D160" s="77"/>
      <c r="E160" s="77"/>
      <c r="F160" s="77"/>
      <c r="G160" s="77"/>
      <c r="I160" s="77"/>
      <c r="J160" s="77"/>
      <c r="K160" s="77"/>
      <c r="L160" s="77"/>
      <c r="M160" s="77"/>
      <c r="N160" s="77"/>
      <c r="O160" s="77"/>
      <c r="P160" s="77"/>
      <c r="Q160" s="77"/>
      <c r="S160" s="78"/>
      <c r="U160" s="110"/>
      <c r="W160" s="77"/>
      <c r="Y160" s="77"/>
      <c r="Z160" s="77"/>
      <c r="IV160"/>
    </row>
    <row r="161" spans="1:256" s="20" customFormat="1" ht="11.25">
      <c r="A161" s="55"/>
      <c r="B161" s="110"/>
      <c r="D161" s="77"/>
      <c r="E161" s="77"/>
      <c r="F161" s="77"/>
      <c r="G161" s="77"/>
      <c r="I161" s="77"/>
      <c r="J161" s="77"/>
      <c r="K161" s="77"/>
      <c r="L161" s="77"/>
      <c r="M161" s="77"/>
      <c r="N161" s="77"/>
      <c r="O161" s="77"/>
      <c r="P161" s="77"/>
      <c r="Q161" s="77"/>
      <c r="S161" s="78"/>
      <c r="U161" s="110"/>
      <c r="W161" s="77"/>
      <c r="Y161" s="77"/>
      <c r="Z161" s="77"/>
      <c r="IV161"/>
    </row>
    <row r="162" spans="1:256" s="20" customFormat="1" ht="11.25">
      <c r="A162" s="55"/>
      <c r="B162" s="110"/>
      <c r="D162" s="77"/>
      <c r="E162" s="77"/>
      <c r="F162" s="77"/>
      <c r="G162" s="77"/>
      <c r="I162" s="77"/>
      <c r="J162" s="77"/>
      <c r="K162" s="77"/>
      <c r="L162" s="77"/>
      <c r="M162" s="77"/>
      <c r="N162" s="77"/>
      <c r="O162" s="77"/>
      <c r="P162" s="77"/>
      <c r="Q162" s="77"/>
      <c r="S162" s="78"/>
      <c r="U162" s="110"/>
      <c r="W162" s="77"/>
      <c r="Y162" s="77"/>
      <c r="Z162" s="77"/>
      <c r="IV162"/>
    </row>
    <row r="163" spans="1:256" s="20" customFormat="1" ht="11.25">
      <c r="A163" s="55"/>
      <c r="B163" s="110"/>
      <c r="D163" s="77"/>
      <c r="E163" s="77"/>
      <c r="F163" s="77"/>
      <c r="G163" s="77"/>
      <c r="I163" s="77"/>
      <c r="J163" s="77"/>
      <c r="K163" s="77"/>
      <c r="L163" s="77"/>
      <c r="M163" s="77"/>
      <c r="N163" s="77"/>
      <c r="O163" s="77"/>
      <c r="P163" s="77"/>
      <c r="Q163" s="77"/>
      <c r="S163" s="78"/>
      <c r="U163" s="110"/>
      <c r="W163" s="77"/>
      <c r="Y163" s="77"/>
      <c r="Z163" s="77"/>
      <c r="IV163"/>
    </row>
    <row r="164" spans="1:256" s="20" customFormat="1" ht="11.25">
      <c r="A164" s="55"/>
      <c r="B164" s="110"/>
      <c r="D164" s="77"/>
      <c r="E164" s="77"/>
      <c r="F164" s="77"/>
      <c r="G164" s="77"/>
      <c r="I164" s="77"/>
      <c r="J164" s="77"/>
      <c r="K164" s="77"/>
      <c r="L164" s="77"/>
      <c r="M164" s="77"/>
      <c r="N164" s="77"/>
      <c r="O164" s="77"/>
      <c r="P164" s="77"/>
      <c r="Q164" s="77"/>
      <c r="S164" s="78"/>
      <c r="U164" s="110"/>
      <c r="W164" s="77"/>
      <c r="Y164" s="77"/>
      <c r="Z164" s="77"/>
      <c r="IV164"/>
    </row>
    <row r="165" spans="1:256" s="20" customFormat="1" ht="11.25">
      <c r="A165" s="55"/>
      <c r="B165" s="110"/>
      <c r="D165" s="77"/>
      <c r="E165" s="77"/>
      <c r="F165" s="77"/>
      <c r="G165" s="77"/>
      <c r="I165" s="77"/>
      <c r="J165" s="77"/>
      <c r="K165" s="77"/>
      <c r="L165" s="77"/>
      <c r="M165" s="77"/>
      <c r="N165" s="77"/>
      <c r="O165" s="77"/>
      <c r="P165" s="77"/>
      <c r="Q165" s="77"/>
      <c r="S165" s="78"/>
      <c r="U165" s="110"/>
      <c r="W165" s="77"/>
      <c r="Y165" s="77"/>
      <c r="Z165" s="77"/>
      <c r="IV165"/>
    </row>
    <row r="166" spans="1:256" s="20" customFormat="1" ht="11.25">
      <c r="A166" s="55"/>
      <c r="B166" s="110"/>
      <c r="D166" s="77"/>
      <c r="E166" s="77"/>
      <c r="F166" s="77"/>
      <c r="G166" s="77"/>
      <c r="I166" s="77"/>
      <c r="J166" s="77"/>
      <c r="K166" s="77"/>
      <c r="L166" s="77"/>
      <c r="M166" s="77"/>
      <c r="N166" s="77"/>
      <c r="O166" s="77"/>
      <c r="P166" s="77"/>
      <c r="Q166" s="77"/>
      <c r="S166" s="78"/>
      <c r="U166" s="110"/>
      <c r="W166" s="77"/>
      <c r="Y166" s="77"/>
      <c r="Z166" s="77"/>
      <c r="IV166"/>
    </row>
    <row r="167" spans="1:256" s="20" customFormat="1" ht="11.25">
      <c r="A167" s="55"/>
      <c r="B167" s="110"/>
      <c r="D167" s="77"/>
      <c r="E167" s="77"/>
      <c r="F167" s="77"/>
      <c r="G167" s="77"/>
      <c r="I167" s="77"/>
      <c r="J167" s="77"/>
      <c r="K167" s="77"/>
      <c r="L167" s="77"/>
      <c r="M167" s="77"/>
      <c r="N167" s="77"/>
      <c r="O167" s="77"/>
      <c r="P167" s="77"/>
      <c r="Q167" s="77"/>
      <c r="S167" s="78"/>
      <c r="U167" s="110"/>
      <c r="W167" s="77"/>
      <c r="Y167" s="77"/>
      <c r="Z167" s="77"/>
      <c r="IV167"/>
    </row>
    <row r="168" spans="1:256" s="20" customFormat="1" ht="11.25">
      <c r="A168" s="55"/>
      <c r="B168" s="110"/>
      <c r="D168" s="77"/>
      <c r="E168" s="77"/>
      <c r="F168" s="77"/>
      <c r="G168" s="77"/>
      <c r="I168" s="77"/>
      <c r="J168" s="77"/>
      <c r="K168" s="77"/>
      <c r="L168" s="77"/>
      <c r="M168" s="77"/>
      <c r="N168" s="77"/>
      <c r="O168" s="77"/>
      <c r="P168" s="77"/>
      <c r="Q168" s="77"/>
      <c r="S168" s="78"/>
      <c r="U168" s="110"/>
      <c r="W168" s="77"/>
      <c r="Y168" s="77"/>
      <c r="Z168" s="77"/>
      <c r="IV168"/>
    </row>
    <row r="169" spans="1:256" s="20" customFormat="1" ht="11.25">
      <c r="A169" s="55"/>
      <c r="B169" s="110"/>
      <c r="D169" s="77"/>
      <c r="E169" s="77"/>
      <c r="F169" s="77"/>
      <c r="G169" s="77"/>
      <c r="I169" s="77"/>
      <c r="J169" s="77"/>
      <c r="K169" s="77"/>
      <c r="L169" s="77"/>
      <c r="M169" s="77"/>
      <c r="N169" s="77"/>
      <c r="O169" s="77"/>
      <c r="P169" s="77"/>
      <c r="Q169" s="77"/>
      <c r="S169" s="78"/>
      <c r="U169" s="110"/>
      <c r="W169" s="77"/>
      <c r="Y169" s="77"/>
      <c r="Z169" s="77"/>
      <c r="IV169"/>
    </row>
    <row r="170" spans="1:256" s="20" customFormat="1" ht="11.25">
      <c r="A170" s="55"/>
      <c r="B170" s="110"/>
      <c r="D170" s="77"/>
      <c r="E170" s="77"/>
      <c r="F170" s="77"/>
      <c r="G170" s="77"/>
      <c r="I170" s="77"/>
      <c r="J170" s="77"/>
      <c r="K170" s="77"/>
      <c r="L170" s="77"/>
      <c r="M170" s="77"/>
      <c r="N170" s="77"/>
      <c r="O170" s="77"/>
      <c r="P170" s="77"/>
      <c r="Q170" s="77"/>
      <c r="S170" s="78"/>
      <c r="U170" s="110"/>
      <c r="W170" s="77"/>
      <c r="Y170" s="77"/>
      <c r="Z170" s="77"/>
      <c r="IV170"/>
    </row>
    <row r="171" spans="1:256" s="20" customFormat="1" ht="11.25">
      <c r="A171" s="55"/>
      <c r="B171" s="110"/>
      <c r="D171" s="77"/>
      <c r="E171" s="77"/>
      <c r="F171" s="77"/>
      <c r="G171" s="77"/>
      <c r="I171" s="77"/>
      <c r="J171" s="77"/>
      <c r="K171" s="77"/>
      <c r="L171" s="77"/>
      <c r="M171" s="77"/>
      <c r="N171" s="77"/>
      <c r="O171" s="77"/>
      <c r="P171" s="77"/>
      <c r="Q171" s="77"/>
      <c r="S171" s="78"/>
      <c r="U171" s="110"/>
      <c r="W171" s="77"/>
      <c r="Y171" s="77"/>
      <c r="Z171" s="77"/>
      <c r="IV171"/>
    </row>
    <row r="172" spans="1:256" s="20" customFormat="1" ht="11.25">
      <c r="A172" s="55"/>
      <c r="B172" s="110"/>
      <c r="D172" s="77"/>
      <c r="E172" s="77"/>
      <c r="F172" s="77"/>
      <c r="G172" s="77"/>
      <c r="I172" s="77"/>
      <c r="J172" s="77"/>
      <c r="K172" s="77"/>
      <c r="L172" s="77"/>
      <c r="M172" s="77"/>
      <c r="N172" s="77"/>
      <c r="O172" s="77"/>
      <c r="P172" s="77"/>
      <c r="Q172" s="77"/>
      <c r="S172" s="78"/>
      <c r="U172" s="110"/>
      <c r="W172" s="77"/>
      <c r="Y172" s="77"/>
      <c r="Z172" s="77"/>
      <c r="IV172"/>
    </row>
  </sheetData>
  <sheetProtection sheet="1" objects="1" scenarios="1"/>
  <conditionalFormatting sqref="A5:A37">
    <cfRule type="cellIs" priority="1" dxfId="0" operator="equal" stopIfTrue="1">
      <formula>"x"</formula>
    </cfRule>
    <cfRule type="cellIs" priority="2" dxfId="1" operator="equal" stopIfTrue="1">
      <formula>"v"</formula>
    </cfRule>
  </conditionalFormatting>
  <printOptions horizontalCentered="1" verticalCentered="1"/>
  <pageMargins left="0" right="0" top="1.3479166666666667" bottom="0" header="0.7875" footer="0.5118055555555556"/>
  <pageSetup horizontalDpi="300" verticalDpi="300" orientation="landscape" paperSize="9" scale="95"/>
  <headerFooter alignWithMargins="0">
    <oddHeader>&amp;L&amp;"Geneva,Gras"&amp;12&amp;F&amp;C&amp;"Geneva,Gras"&amp;12Livre de caisse 2007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'03'!Q25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enveloppe___4-J23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'04'!Q25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enveloppe___5-J23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'05'!Q25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enveloppe___6-J23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6.75" customHeight="1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'06'!Q25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enveloppe___7-J23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'07'!Q25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enveloppe___8-J23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61"/>
  <sheetViews>
    <sheetView showRowColHeaders="0" showZeros="0" showOutlineSymbols="0" workbookViewId="0" topLeftCell="A1">
      <selection activeCell="E2" sqref="E2"/>
    </sheetView>
  </sheetViews>
  <sheetFormatPr defaultColWidth="11.00390625" defaultRowHeight="12"/>
  <cols>
    <col min="1" max="1" width="1.00390625" style="0" customWidth="1"/>
    <col min="2" max="2" width="1.625" style="0" customWidth="1"/>
    <col min="3" max="3" width="16.125" style="0" customWidth="1"/>
    <col min="4" max="4" width="1.875" style="0" customWidth="1"/>
    <col min="5" max="5" width="10.875" style="0" customWidth="1"/>
    <col min="6" max="6" width="1.00390625" style="0" customWidth="1"/>
    <col min="7" max="7" width="2.00390625" style="0" customWidth="1"/>
    <col min="8" max="8" width="10.875" style="0" customWidth="1"/>
    <col min="9" max="9" width="1.875" style="0" customWidth="1"/>
    <col min="10" max="10" width="10.875" style="0" customWidth="1"/>
    <col min="11" max="11" width="1.00390625" style="0" customWidth="1"/>
    <col min="12" max="12" width="2.00390625" style="0" customWidth="1"/>
    <col min="13" max="13" width="8.875" style="0" customWidth="1"/>
    <col min="14" max="14" width="1.875" style="0" customWidth="1"/>
    <col min="15" max="15" width="10.875" style="0" customWidth="1"/>
    <col min="16" max="16" width="2.00390625" style="0" customWidth="1"/>
    <col min="17" max="17" width="10.875" style="0" customWidth="1"/>
    <col min="18" max="18" width="1.625" style="0" customWidth="1"/>
    <col min="19" max="19" width="1.00390625" style="0" customWidth="1"/>
    <col min="20" max="16384" width="10.875" style="0" customWidth="1"/>
  </cols>
  <sheetData>
    <row r="1" spans="1:19" s="3" customFormat="1" ht="6.75" customHeight="1">
      <c r="A1" s="1"/>
      <c r="B1" s="1"/>
      <c r="C1" s="2"/>
      <c r="D1" s="1"/>
      <c r="E1" s="2"/>
      <c r="F1" s="1"/>
      <c r="G1" s="1"/>
      <c r="H1" s="2"/>
      <c r="I1" s="2"/>
      <c r="J1" s="1"/>
      <c r="K1" s="1"/>
      <c r="L1" s="1"/>
      <c r="M1" s="2"/>
      <c r="N1" s="2"/>
      <c r="O1" s="1"/>
      <c r="P1" s="2"/>
      <c r="Q1" s="1"/>
      <c r="R1" s="1"/>
      <c r="S1" s="1"/>
    </row>
    <row r="2" spans="1:19" s="3" customFormat="1" ht="15.75" customHeight="1">
      <c r="A2" s="1"/>
      <c r="B2" s="1"/>
      <c r="C2" s="4" t="s">
        <v>0</v>
      </c>
      <c r="D2" s="5"/>
      <c r="E2" s="53"/>
      <c r="F2" s="1"/>
      <c r="G2" s="1"/>
      <c r="H2" s="7" t="s">
        <v>1</v>
      </c>
      <c r="I2" s="2"/>
      <c r="J2" s="8"/>
      <c r="K2" s="1"/>
      <c r="L2" s="1"/>
      <c r="M2" s="7" t="s">
        <v>2</v>
      </c>
      <c r="N2" s="2"/>
      <c r="O2" s="8"/>
      <c r="P2" s="9" t="s">
        <v>3</v>
      </c>
      <c r="Q2" s="8"/>
      <c r="R2" s="1"/>
      <c r="S2" s="1"/>
    </row>
    <row r="3" spans="1:19" s="3" customFormat="1" ht="9.75" customHeight="1">
      <c r="A3" s="1"/>
      <c r="B3" s="1"/>
      <c r="C3" s="2"/>
      <c r="D3" s="1"/>
      <c r="E3" s="2"/>
      <c r="F3" s="1"/>
      <c r="G3" s="1"/>
      <c r="H3" s="2"/>
      <c r="I3" s="2"/>
      <c r="J3" s="1"/>
      <c r="K3" s="1"/>
      <c r="L3" s="1"/>
      <c r="M3" s="2"/>
      <c r="N3" s="2"/>
      <c r="O3" s="1"/>
      <c r="P3" s="2"/>
      <c r="Q3" s="1"/>
      <c r="R3" s="1"/>
      <c r="S3" s="1"/>
    </row>
    <row r="4" spans="1:19" s="3" customFormat="1" ht="6.75" customHeight="1">
      <c r="A4" s="1"/>
      <c r="B4" s="10"/>
      <c r="C4" s="11"/>
      <c r="D4" s="12"/>
      <c r="E4" s="11"/>
      <c r="F4" s="13"/>
      <c r="G4" s="1"/>
      <c r="H4" s="14"/>
      <c r="I4" s="11"/>
      <c r="J4" s="12"/>
      <c r="K4" s="13"/>
      <c r="L4" s="1"/>
      <c r="M4" s="14"/>
      <c r="N4" s="11"/>
      <c r="O4" s="12"/>
      <c r="P4" s="11"/>
      <c r="Q4" s="12"/>
      <c r="R4" s="13"/>
      <c r="S4" s="1"/>
    </row>
    <row r="5" spans="1:19" s="3" customFormat="1" ht="12.75" customHeight="1">
      <c r="A5" s="1"/>
      <c r="B5" s="15"/>
      <c r="C5" s="2"/>
      <c r="D5" s="1"/>
      <c r="E5" s="16" t="s">
        <v>4</v>
      </c>
      <c r="F5" s="17"/>
      <c r="G5" s="1"/>
      <c r="H5" s="18"/>
      <c r="I5" s="2"/>
      <c r="J5" s="16" t="s">
        <v>5</v>
      </c>
      <c r="K5" s="17"/>
      <c r="L5" s="1"/>
      <c r="M5" s="18"/>
      <c r="N5" s="2"/>
      <c r="O5" s="16" t="s">
        <v>6</v>
      </c>
      <c r="P5" s="2"/>
      <c r="Q5" s="16" t="s">
        <v>6</v>
      </c>
      <c r="R5" s="17"/>
      <c r="S5" s="1"/>
    </row>
    <row r="6" spans="1:19" s="20" customFormat="1" ht="6.75" customHeight="1">
      <c r="A6" s="1"/>
      <c r="B6" s="15"/>
      <c r="C6" s="2"/>
      <c r="D6" s="1"/>
      <c r="E6" s="2"/>
      <c r="F6" s="17"/>
      <c r="G6" s="1"/>
      <c r="H6" s="18"/>
      <c r="I6" s="9"/>
      <c r="J6" s="1"/>
      <c r="K6" s="17"/>
      <c r="L6" s="1"/>
      <c r="M6" s="19"/>
      <c r="N6" s="9"/>
      <c r="O6" s="1"/>
      <c r="P6" s="9"/>
      <c r="Q6" s="1"/>
      <c r="R6" s="17"/>
      <c r="S6" s="1"/>
    </row>
    <row r="7" spans="1:19" s="20" customFormat="1" ht="15.75" customHeight="1">
      <c r="A7" s="1"/>
      <c r="B7" s="15"/>
      <c r="C7" s="2" t="s">
        <v>7</v>
      </c>
      <c r="D7" s="1"/>
      <c r="E7" s="21"/>
      <c r="F7" s="17"/>
      <c r="G7" s="1"/>
      <c r="H7" s="18" t="s">
        <v>8</v>
      </c>
      <c r="I7" s="9"/>
      <c r="J7" s="22"/>
      <c r="K7" s="17"/>
      <c r="L7" s="1"/>
      <c r="M7" s="18" t="s">
        <v>8</v>
      </c>
      <c r="N7" s="23"/>
      <c r="O7" s="22"/>
      <c r="P7" s="23"/>
      <c r="Q7" s="22"/>
      <c r="R7" s="17"/>
      <c r="S7" s="1"/>
    </row>
    <row r="8" spans="1:19" s="20" customFormat="1" ht="15.75" customHeight="1">
      <c r="A8" s="1"/>
      <c r="B8" s="15"/>
      <c r="C8" s="2" t="s">
        <v>9</v>
      </c>
      <c r="D8" s="1"/>
      <c r="E8" s="21"/>
      <c r="F8" s="17"/>
      <c r="G8" s="1"/>
      <c r="H8" s="18" t="s">
        <v>10</v>
      </c>
      <c r="I8" s="9"/>
      <c r="J8" s="22"/>
      <c r="K8" s="17"/>
      <c r="L8" s="1"/>
      <c r="M8" s="18">
        <v>2</v>
      </c>
      <c r="N8" s="23"/>
      <c r="O8" s="22"/>
      <c r="P8" s="23"/>
      <c r="Q8" s="22"/>
      <c r="R8" s="17"/>
      <c r="S8" s="1"/>
    </row>
    <row r="9" spans="1:19" s="20" customFormat="1" ht="15.75" customHeight="1">
      <c r="A9" s="1"/>
      <c r="B9" s="15"/>
      <c r="C9" s="2" t="s">
        <v>11</v>
      </c>
      <c r="D9" s="1"/>
      <c r="E9" s="21"/>
      <c r="F9" s="17"/>
      <c r="G9" s="1"/>
      <c r="H9" s="18">
        <v>500</v>
      </c>
      <c r="I9" s="9"/>
      <c r="J9" s="22"/>
      <c r="K9" s="17"/>
      <c r="L9" s="1"/>
      <c r="M9" s="18">
        <v>1</v>
      </c>
      <c r="N9" s="23"/>
      <c r="O9" s="22"/>
      <c r="P9" s="23"/>
      <c r="Q9" s="22"/>
      <c r="R9" s="17"/>
      <c r="S9" s="1"/>
    </row>
    <row r="10" spans="1:19" s="20" customFormat="1" ht="15.75" customHeight="1">
      <c r="A10" s="1"/>
      <c r="B10" s="15"/>
      <c r="C10" s="2" t="s">
        <v>12</v>
      </c>
      <c r="D10" s="1"/>
      <c r="E10" s="21"/>
      <c r="F10" s="17"/>
      <c r="G10" s="1"/>
      <c r="H10" s="18">
        <v>200</v>
      </c>
      <c r="I10" s="9"/>
      <c r="J10" s="22"/>
      <c r="K10" s="17"/>
      <c r="L10" s="1"/>
      <c r="M10" s="19">
        <v>0.5</v>
      </c>
      <c r="N10" s="23"/>
      <c r="O10" s="22"/>
      <c r="P10" s="23"/>
      <c r="Q10" s="22"/>
      <c r="R10" s="17"/>
      <c r="S10" s="1"/>
    </row>
    <row r="11" spans="1:19" s="20" customFormat="1" ht="15.75" customHeight="1">
      <c r="A11" s="1"/>
      <c r="B11" s="15"/>
      <c r="C11" s="24" t="s">
        <v>13</v>
      </c>
      <c r="D11" s="25" t="s">
        <v>14</v>
      </c>
      <c r="E11" s="21"/>
      <c r="F11" s="17"/>
      <c r="G11" s="1"/>
      <c r="H11" s="18">
        <v>100</v>
      </c>
      <c r="I11" s="9"/>
      <c r="J11" s="22"/>
      <c r="K11" s="17"/>
      <c r="L11" s="1"/>
      <c r="M11" s="19">
        <v>0.2</v>
      </c>
      <c r="N11" s="23"/>
      <c r="O11" s="22"/>
      <c r="P11" s="23"/>
      <c r="Q11" s="22"/>
      <c r="R11" s="17"/>
      <c r="S11" s="1"/>
    </row>
    <row r="12" spans="1:19" s="20" customFormat="1" ht="15.75" customHeight="1">
      <c r="A12" s="1"/>
      <c r="B12" s="15"/>
      <c r="C12" s="2" t="s">
        <v>15</v>
      </c>
      <c r="D12" s="26"/>
      <c r="E12" s="21"/>
      <c r="F12" s="17"/>
      <c r="G12" s="1"/>
      <c r="H12" s="18">
        <v>50</v>
      </c>
      <c r="I12" s="23"/>
      <c r="J12" s="22"/>
      <c r="K12" s="17"/>
      <c r="L12" s="1"/>
      <c r="M12" s="19">
        <v>0.1</v>
      </c>
      <c r="N12" s="23"/>
      <c r="O12" s="22"/>
      <c r="P12" s="23"/>
      <c r="Q12" s="22"/>
      <c r="R12" s="17"/>
      <c r="S12" s="1"/>
    </row>
    <row r="13" spans="1:19" s="20" customFormat="1" ht="15.75" customHeight="1">
      <c r="A13" s="1"/>
      <c r="B13" s="15"/>
      <c r="C13" s="24" t="s">
        <v>16</v>
      </c>
      <c r="D13" s="25" t="s">
        <v>14</v>
      </c>
      <c r="E13" s="27"/>
      <c r="F13" s="17"/>
      <c r="G13" s="1"/>
      <c r="H13" s="18">
        <v>20</v>
      </c>
      <c r="I13" s="9"/>
      <c r="J13" s="22"/>
      <c r="K13" s="17"/>
      <c r="L13" s="1"/>
      <c r="M13" s="19">
        <v>0.05</v>
      </c>
      <c r="N13" s="23"/>
      <c r="O13" s="22"/>
      <c r="P13" s="23"/>
      <c r="Q13" s="22"/>
      <c r="R13" s="17"/>
      <c r="S13" s="1"/>
    </row>
    <row r="14" spans="1:19" s="20" customFormat="1" ht="15.75" customHeight="1">
      <c r="A14" s="1"/>
      <c r="B14" s="15"/>
      <c r="C14" s="28"/>
      <c r="D14" s="1"/>
      <c r="E14" s="21"/>
      <c r="F14" s="17"/>
      <c r="G14" s="1"/>
      <c r="H14" s="18">
        <v>10</v>
      </c>
      <c r="I14" s="9"/>
      <c r="J14" s="22"/>
      <c r="K14" s="17"/>
      <c r="L14" s="1"/>
      <c r="M14" s="19">
        <v>0.02</v>
      </c>
      <c r="N14" s="23"/>
      <c r="O14" s="22"/>
      <c r="P14" s="23"/>
      <c r="Q14" s="22"/>
      <c r="R14" s="17"/>
      <c r="S14" s="1"/>
    </row>
    <row r="15" spans="1:19" s="20" customFormat="1" ht="15.75" customHeight="1">
      <c r="A15" s="1"/>
      <c r="B15" s="15"/>
      <c r="C15" s="28"/>
      <c r="D15" s="1"/>
      <c r="E15" s="21"/>
      <c r="F15" s="17"/>
      <c r="G15" s="1"/>
      <c r="H15" s="18">
        <v>5</v>
      </c>
      <c r="I15" s="9"/>
      <c r="J15" s="22"/>
      <c r="K15" s="17"/>
      <c r="L15" s="1"/>
      <c r="M15" s="19">
        <v>0.01</v>
      </c>
      <c r="N15" s="23"/>
      <c r="O15" s="22"/>
      <c r="P15" s="23"/>
      <c r="Q15" s="22"/>
      <c r="R15" s="17"/>
      <c r="S15" s="1"/>
    </row>
    <row r="16" spans="1:19" s="20" customFormat="1" ht="6.75" customHeight="1">
      <c r="A16" s="1"/>
      <c r="B16" s="15"/>
      <c r="C16" s="2"/>
      <c r="D16" s="1"/>
      <c r="E16" s="2"/>
      <c r="F16" s="17"/>
      <c r="G16" s="1"/>
      <c r="H16" s="18"/>
      <c r="I16" s="9"/>
      <c r="J16" s="1"/>
      <c r="K16" s="17"/>
      <c r="L16" s="1"/>
      <c r="M16" s="19"/>
      <c r="N16" s="9"/>
      <c r="O16" s="1"/>
      <c r="P16" s="9"/>
      <c r="Q16" s="1"/>
      <c r="R16" s="17"/>
      <c r="S16" s="1"/>
    </row>
    <row r="17" spans="1:19" s="20" customFormat="1" ht="15.75" customHeight="1">
      <c r="A17" s="1"/>
      <c r="B17" s="15"/>
      <c r="C17" s="2"/>
      <c r="D17" s="1"/>
      <c r="E17" s="29">
        <f>E7+E8+E9+E10-E11+E12-E13+E14+E15</f>
        <v>0</v>
      </c>
      <c r="F17" s="17"/>
      <c r="G17" s="1"/>
      <c r="H17" s="18"/>
      <c r="I17" s="9"/>
      <c r="J17" s="29">
        <f>SUM(J7:J15)</f>
        <v>0</v>
      </c>
      <c r="K17" s="17"/>
      <c r="L17" s="1"/>
      <c r="M17" s="18"/>
      <c r="N17" s="9"/>
      <c r="O17" s="29">
        <f>SUM(O7:O15)</f>
        <v>0</v>
      </c>
      <c r="P17" s="9"/>
      <c r="Q17" s="29">
        <f>SUM(Q7:Q15)</f>
        <v>0</v>
      </c>
      <c r="R17" s="17"/>
      <c r="S17" s="1"/>
    </row>
    <row r="18" spans="1:19" s="20" customFormat="1" ht="6.75" customHeight="1">
      <c r="A18" s="1"/>
      <c r="B18" s="30"/>
      <c r="C18" s="31"/>
      <c r="D18" s="32"/>
      <c r="E18" s="31"/>
      <c r="F18" s="33"/>
      <c r="G18" s="1"/>
      <c r="H18" s="34"/>
      <c r="I18" s="35"/>
      <c r="J18" s="36"/>
      <c r="K18" s="33"/>
      <c r="L18" s="1"/>
      <c r="M18" s="37"/>
      <c r="N18" s="38"/>
      <c r="O18" s="36"/>
      <c r="P18" s="38"/>
      <c r="Q18" s="36"/>
      <c r="R18" s="33"/>
      <c r="S18" s="1"/>
    </row>
    <row r="19" spans="1:19" s="3" customFormat="1" ht="9.75" customHeight="1">
      <c r="A19" s="1"/>
      <c r="B19" s="1"/>
      <c r="C19" s="2"/>
      <c r="D19" s="1"/>
      <c r="E19" s="2"/>
      <c r="F19" s="1"/>
      <c r="G19" s="1"/>
      <c r="H19" s="2"/>
      <c r="I19" s="2"/>
      <c r="J19" s="1"/>
      <c r="K19" s="1"/>
      <c r="L19" s="1"/>
      <c r="M19" s="2"/>
      <c r="N19" s="2"/>
      <c r="O19" s="1"/>
      <c r="P19" s="2"/>
      <c r="Q19" s="1"/>
      <c r="R19" s="1"/>
      <c r="S19" s="1"/>
    </row>
    <row r="20" spans="1:19" s="3" customFormat="1" ht="6.75" customHeight="1">
      <c r="A20" s="1"/>
      <c r="B20" s="10"/>
      <c r="C20" s="11"/>
      <c r="D20" s="12"/>
      <c r="E20" s="11"/>
      <c r="F20" s="13"/>
      <c r="G20" s="1"/>
      <c r="H20" s="14"/>
      <c r="I20" s="11"/>
      <c r="J20" s="12"/>
      <c r="K20" s="13"/>
      <c r="L20" s="1"/>
      <c r="M20" s="14"/>
      <c r="N20" s="11"/>
      <c r="O20" s="12"/>
      <c r="P20" s="11"/>
      <c r="Q20" s="12"/>
      <c r="R20" s="13"/>
      <c r="S20" s="1"/>
    </row>
    <row r="21" spans="1:19" s="3" customFormat="1" ht="12.75" customHeight="1">
      <c r="A21" s="1"/>
      <c r="B21" s="15"/>
      <c r="C21" s="2"/>
      <c r="D21" s="16"/>
      <c r="E21" s="39" t="s">
        <v>17</v>
      </c>
      <c r="F21" s="17"/>
      <c r="G21" s="1"/>
      <c r="H21" s="18"/>
      <c r="I21" s="2"/>
      <c r="J21" s="40" t="s">
        <v>18</v>
      </c>
      <c r="K21" s="17"/>
      <c r="L21" s="1"/>
      <c r="M21" s="18"/>
      <c r="N21" s="16"/>
      <c r="O21" s="39" t="s">
        <v>19</v>
      </c>
      <c r="P21" s="16"/>
      <c r="Q21" s="41"/>
      <c r="R21" s="17"/>
      <c r="S21" s="1"/>
    </row>
    <row r="22" spans="1:19" s="20" customFormat="1" ht="6.75" customHeight="1">
      <c r="A22" s="1"/>
      <c r="B22" s="15"/>
      <c r="C22" s="2"/>
      <c r="D22" s="1"/>
      <c r="E22" s="2"/>
      <c r="F22" s="17"/>
      <c r="G22" s="1"/>
      <c r="H22" s="18"/>
      <c r="I22" s="2"/>
      <c r="J22" s="1"/>
      <c r="K22" s="17"/>
      <c r="L22" s="1"/>
      <c r="M22" s="19"/>
      <c r="N22" s="9"/>
      <c r="O22" s="16"/>
      <c r="P22" s="9"/>
      <c r="Q22" s="16"/>
      <c r="R22" s="17"/>
      <c r="S22" s="1"/>
    </row>
    <row r="23" spans="1:19" s="20" customFormat="1" ht="15.75" customHeight="1">
      <c r="A23" s="1"/>
      <c r="B23" s="15"/>
      <c r="C23" s="41" t="s">
        <v>20</v>
      </c>
      <c r="D23" s="1"/>
      <c r="E23" s="54">
        <f>'08'!Q25</f>
        <v>0</v>
      </c>
      <c r="F23" s="17"/>
      <c r="G23" s="1"/>
      <c r="H23" s="18" t="s">
        <v>21</v>
      </c>
      <c r="I23" s="2"/>
      <c r="J23" s="43">
        <f>E29-E17</f>
        <v>0</v>
      </c>
      <c r="K23" s="17"/>
      <c r="L23" s="1"/>
      <c r="M23" s="19"/>
      <c r="N23" s="44"/>
      <c r="O23" s="44"/>
      <c r="P23" s="2"/>
      <c r="Q23" s="45">
        <f>E2</f>
        <v>0</v>
      </c>
      <c r="R23" s="17"/>
      <c r="S23" s="1"/>
    </row>
    <row r="24" spans="1:19" s="20" customFormat="1" ht="6.75" customHeight="1">
      <c r="A24" s="1"/>
      <c r="B24" s="15"/>
      <c r="C24" s="41"/>
      <c r="D24" s="1"/>
      <c r="E24" s="2"/>
      <c r="F24" s="17"/>
      <c r="G24" s="1"/>
      <c r="H24" s="18"/>
      <c r="I24" s="2"/>
      <c r="J24" s="1"/>
      <c r="K24" s="17"/>
      <c r="L24" s="1"/>
      <c r="M24" s="18"/>
      <c r="N24" s="2"/>
      <c r="O24" s="1"/>
      <c r="P24" s="2"/>
      <c r="Q24" s="1"/>
      <c r="R24" s="17"/>
      <c r="S24" s="1"/>
    </row>
    <row r="25" spans="1:19" s="20" customFormat="1" ht="15.75" customHeight="1">
      <c r="A25" s="1"/>
      <c r="B25" s="15"/>
      <c r="C25" s="41" t="s">
        <v>22</v>
      </c>
      <c r="D25" s="1"/>
      <c r="E25" s="21"/>
      <c r="F25" s="17"/>
      <c r="G25" s="1"/>
      <c r="H25" s="18" t="s">
        <v>23</v>
      </c>
      <c r="I25" s="2"/>
      <c r="J25" s="22"/>
      <c r="K25" s="17"/>
      <c r="L25" s="1"/>
      <c r="M25" s="18"/>
      <c r="N25" s="2"/>
      <c r="O25" s="46" t="s">
        <v>21</v>
      </c>
      <c r="P25" s="9"/>
      <c r="Q25" s="47">
        <f>IF(E29&gt;0,E23+E31+(J23-J25),E23)</f>
        <v>0</v>
      </c>
      <c r="R25" s="17"/>
      <c r="S25" s="1"/>
    </row>
    <row r="26" spans="1:19" s="20" customFormat="1" ht="15.75" customHeight="1">
      <c r="A26" s="1"/>
      <c r="B26" s="15"/>
      <c r="C26" s="41" t="s">
        <v>24</v>
      </c>
      <c r="D26" s="1"/>
      <c r="E26" s="21"/>
      <c r="F26" s="17"/>
      <c r="G26" s="1"/>
      <c r="H26" s="18"/>
      <c r="I26" s="2"/>
      <c r="J26" s="1"/>
      <c r="K26" s="17"/>
      <c r="L26" s="1"/>
      <c r="M26" s="19"/>
      <c r="N26" s="44"/>
      <c r="O26" s="1"/>
      <c r="P26" s="2"/>
      <c r="Q26" s="1"/>
      <c r="R26" s="17"/>
      <c r="S26" s="1"/>
    </row>
    <row r="27" spans="1:19" s="20" customFormat="1" ht="15.75" customHeight="1">
      <c r="A27" s="1"/>
      <c r="B27" s="15"/>
      <c r="C27" s="41" t="s">
        <v>25</v>
      </c>
      <c r="D27" s="1"/>
      <c r="E27" s="21"/>
      <c r="F27" s="17"/>
      <c r="G27" s="1"/>
      <c r="H27" s="18"/>
      <c r="I27" s="2"/>
      <c r="J27" s="1"/>
      <c r="K27" s="17"/>
      <c r="L27" s="1"/>
      <c r="M27" s="18"/>
      <c r="N27" s="2"/>
      <c r="O27" s="1"/>
      <c r="P27" s="2"/>
      <c r="Q27" s="1"/>
      <c r="R27" s="17"/>
      <c r="S27" s="1"/>
    </row>
    <row r="28" spans="1:19" s="20" customFormat="1" ht="6.75" customHeight="1">
      <c r="A28" s="1"/>
      <c r="B28" s="15"/>
      <c r="C28" s="2"/>
      <c r="D28" s="1"/>
      <c r="E28" s="2"/>
      <c r="F28" s="17"/>
      <c r="G28" s="1"/>
      <c r="H28" s="18"/>
      <c r="I28" s="2"/>
      <c r="J28" s="1"/>
      <c r="K28" s="17"/>
      <c r="L28" s="1"/>
      <c r="M28" s="18"/>
      <c r="N28" s="2"/>
      <c r="O28" s="1"/>
      <c r="P28" s="2"/>
      <c r="Q28" s="1"/>
      <c r="R28" s="17"/>
      <c r="S28" s="1"/>
    </row>
    <row r="29" spans="1:19" s="3" customFormat="1" ht="15.75" customHeight="1">
      <c r="A29" s="1"/>
      <c r="B29" s="15"/>
      <c r="C29" s="41" t="s">
        <v>26</v>
      </c>
      <c r="D29" s="1"/>
      <c r="E29" s="29">
        <f>SUM(E25:E27)</f>
        <v>0</v>
      </c>
      <c r="F29" s="17"/>
      <c r="G29" s="1"/>
      <c r="H29" s="18"/>
      <c r="I29" s="2"/>
      <c r="J29" s="1"/>
      <c r="K29" s="17"/>
      <c r="L29" s="1"/>
      <c r="M29" s="18"/>
      <c r="N29" s="2"/>
      <c r="O29" s="1"/>
      <c r="P29" s="2"/>
      <c r="Q29" s="1"/>
      <c r="R29" s="17"/>
      <c r="S29" s="1"/>
    </row>
    <row r="30" spans="1:19" s="20" customFormat="1" ht="6.75" customHeight="1">
      <c r="A30" s="1"/>
      <c r="B30" s="15"/>
      <c r="C30" s="41"/>
      <c r="D30" s="1"/>
      <c r="E30" s="2"/>
      <c r="F30" s="17"/>
      <c r="G30" s="1"/>
      <c r="H30" s="18"/>
      <c r="I30" s="2"/>
      <c r="J30" s="1"/>
      <c r="K30" s="17"/>
      <c r="L30" s="1"/>
      <c r="M30" s="18"/>
      <c r="N30" s="2"/>
      <c r="O30" s="1"/>
      <c r="P30" s="2"/>
      <c r="Q30" s="1"/>
      <c r="R30" s="17"/>
      <c r="S30" s="1"/>
    </row>
    <row r="31" spans="1:19" s="20" customFormat="1" ht="15.75" customHeight="1">
      <c r="A31" s="1"/>
      <c r="B31" s="15"/>
      <c r="C31" s="41" t="s">
        <v>27</v>
      </c>
      <c r="D31" s="1"/>
      <c r="E31" s="48">
        <f>IF(E29&gt;0,E17+J17+O17+Q17-E23-E29,0)</f>
        <v>0</v>
      </c>
      <c r="F31" s="17"/>
      <c r="G31" s="1"/>
      <c r="H31" s="49" t="s">
        <v>27</v>
      </c>
      <c r="I31" s="2"/>
      <c r="J31" s="50">
        <f>enveloppe___9-J23</f>
        <v>0</v>
      </c>
      <c r="K31" s="17"/>
      <c r="L31" s="1"/>
      <c r="M31" s="18"/>
      <c r="N31" s="2"/>
      <c r="O31" s="1"/>
      <c r="P31" s="2"/>
      <c r="Q31" s="1"/>
      <c r="R31" s="17"/>
      <c r="S31" s="1"/>
    </row>
    <row r="32" spans="1:19" s="20" customFormat="1" ht="6.75" customHeight="1">
      <c r="A32" s="1"/>
      <c r="B32" s="30"/>
      <c r="C32" s="31"/>
      <c r="D32" s="36"/>
      <c r="E32" s="31"/>
      <c r="F32" s="33"/>
      <c r="G32" s="1"/>
      <c r="H32" s="34"/>
      <c r="I32" s="31"/>
      <c r="J32" s="36"/>
      <c r="K32" s="33"/>
      <c r="L32" s="1"/>
      <c r="M32" s="34"/>
      <c r="N32" s="31"/>
      <c r="O32" s="36"/>
      <c r="P32" s="31"/>
      <c r="Q32" s="36"/>
      <c r="R32" s="33"/>
      <c r="S32" s="1"/>
    </row>
    <row r="33" spans="1:19" s="3" customFormat="1" ht="6.75" customHeight="1">
      <c r="A33" s="1"/>
      <c r="B33" s="1"/>
      <c r="C33" s="2"/>
      <c r="D33" s="1"/>
      <c r="E33" s="2"/>
      <c r="F33" s="1"/>
      <c r="G33" s="1"/>
      <c r="H33" s="2"/>
      <c r="I33" s="2"/>
      <c r="J33" s="1"/>
      <c r="K33" s="1"/>
      <c r="L33" s="1"/>
      <c r="M33" s="2"/>
      <c r="N33" s="2"/>
      <c r="O33" s="1"/>
      <c r="P33" s="2"/>
      <c r="Q33" s="1"/>
      <c r="R33" s="1"/>
      <c r="S33" s="1"/>
    </row>
    <row r="34" spans="1:19" s="20" customFormat="1" ht="17.25">
      <c r="A34" s="51"/>
      <c r="B34" s="51"/>
      <c r="C34" s="52"/>
      <c r="D34" s="51"/>
      <c r="F34" s="51"/>
      <c r="G34" s="51"/>
      <c r="H34" s="52"/>
      <c r="I34" s="52"/>
      <c r="J34" s="51"/>
      <c r="K34" s="51"/>
      <c r="L34" s="51"/>
      <c r="M34" s="52"/>
      <c r="N34" s="52"/>
      <c r="O34" s="51"/>
      <c r="P34" s="52"/>
      <c r="Q34" s="51"/>
      <c r="R34" s="51"/>
      <c r="S34" s="51"/>
    </row>
    <row r="35" spans="1:19" s="20" customFormat="1" ht="17.25">
      <c r="A35" s="51"/>
      <c r="B35" s="51"/>
      <c r="C35" s="52"/>
      <c r="D35" s="51"/>
      <c r="F35" s="51"/>
      <c r="G35" s="51"/>
      <c r="H35" s="52"/>
      <c r="I35" s="52"/>
      <c r="J35" s="51"/>
      <c r="K35" s="51"/>
      <c r="L35" s="51"/>
      <c r="M35" s="52"/>
      <c r="N35" s="52"/>
      <c r="O35" s="51"/>
      <c r="P35" s="52"/>
      <c r="Q35" s="51"/>
      <c r="R35" s="51"/>
      <c r="S35" s="51"/>
    </row>
    <row r="36" spans="1:19" s="20" customFormat="1" ht="17.25">
      <c r="A36" s="51"/>
      <c r="B36" s="51"/>
      <c r="C36" s="52"/>
      <c r="D36" s="51"/>
      <c r="F36" s="51"/>
      <c r="G36" s="51"/>
      <c r="H36" s="52"/>
      <c r="I36" s="52"/>
      <c r="J36" s="51"/>
      <c r="K36" s="51"/>
      <c r="L36" s="51"/>
      <c r="M36" s="52"/>
      <c r="N36" s="52"/>
      <c r="O36" s="51"/>
      <c r="P36" s="52"/>
      <c r="Q36" s="51"/>
      <c r="R36" s="51"/>
      <c r="S36" s="51"/>
    </row>
    <row r="37" spans="1:19" s="20" customFormat="1" ht="17.25">
      <c r="A37" s="51"/>
      <c r="B37" s="51"/>
      <c r="C37" s="52"/>
      <c r="D37" s="51"/>
      <c r="F37" s="51"/>
      <c r="G37" s="51"/>
      <c r="H37" s="52"/>
      <c r="I37" s="52"/>
      <c r="J37" s="51"/>
      <c r="K37" s="51"/>
      <c r="L37" s="51"/>
      <c r="M37" s="52"/>
      <c r="N37" s="52"/>
      <c r="O37" s="51"/>
      <c r="P37" s="52"/>
      <c r="Q37" s="51"/>
      <c r="R37" s="51"/>
      <c r="S37" s="51"/>
    </row>
    <row r="38" spans="1:19" s="20" customFormat="1" ht="17.25">
      <c r="A38" s="51"/>
      <c r="B38" s="51"/>
      <c r="C38" s="52"/>
      <c r="D38" s="51"/>
      <c r="F38" s="51"/>
      <c r="G38" s="51"/>
      <c r="H38" s="52"/>
      <c r="I38" s="52"/>
      <c r="J38" s="51"/>
      <c r="K38" s="51"/>
      <c r="L38" s="51"/>
      <c r="M38" s="52"/>
      <c r="N38" s="52"/>
      <c r="O38" s="51"/>
      <c r="P38" s="52"/>
      <c r="Q38" s="51"/>
      <c r="R38" s="51"/>
      <c r="S38" s="51"/>
    </row>
    <row r="39" spans="1:19" s="20" customFormat="1" ht="17.25">
      <c r="A39" s="51"/>
      <c r="B39" s="51"/>
      <c r="C39" s="52"/>
      <c r="D39" s="51"/>
      <c r="F39" s="51"/>
      <c r="G39" s="51"/>
      <c r="H39" s="52"/>
      <c r="I39" s="52"/>
      <c r="J39" s="51"/>
      <c r="K39" s="51"/>
      <c r="L39" s="51"/>
      <c r="M39" s="52"/>
      <c r="N39" s="52"/>
      <c r="O39" s="51"/>
      <c r="P39" s="52"/>
      <c r="Q39" s="51"/>
      <c r="R39" s="51"/>
      <c r="S39" s="51"/>
    </row>
    <row r="40" spans="1:19" s="20" customFormat="1" ht="17.25">
      <c r="A40" s="51"/>
      <c r="B40" s="51"/>
      <c r="C40" s="52"/>
      <c r="D40" s="51"/>
      <c r="F40" s="51"/>
      <c r="G40" s="51"/>
      <c r="H40" s="52"/>
      <c r="I40" s="52"/>
      <c r="J40" s="51"/>
      <c r="K40" s="51"/>
      <c r="L40" s="51"/>
      <c r="M40" s="52"/>
      <c r="N40" s="52"/>
      <c r="O40" s="51"/>
      <c r="P40" s="52"/>
      <c r="Q40" s="51"/>
      <c r="R40" s="51"/>
      <c r="S40" s="51"/>
    </row>
    <row r="41" spans="1:19" s="20" customFormat="1" ht="17.25">
      <c r="A41" s="51"/>
      <c r="B41" s="51"/>
      <c r="C41" s="52"/>
      <c r="D41" s="51"/>
      <c r="F41" s="51"/>
      <c r="G41" s="51"/>
      <c r="H41" s="52"/>
      <c r="I41" s="52"/>
      <c r="J41" s="51"/>
      <c r="K41" s="51"/>
      <c r="L41" s="51"/>
      <c r="M41" s="52"/>
      <c r="N41" s="52"/>
      <c r="O41" s="51"/>
      <c r="P41" s="52"/>
      <c r="Q41" s="51"/>
      <c r="R41" s="51"/>
      <c r="S41" s="51"/>
    </row>
    <row r="42" spans="1:19" s="20" customFormat="1" ht="17.25">
      <c r="A42" s="51"/>
      <c r="B42" s="51"/>
      <c r="C42" s="52"/>
      <c r="D42" s="51"/>
      <c r="F42" s="51"/>
      <c r="G42" s="51"/>
      <c r="H42" s="52"/>
      <c r="I42" s="52"/>
      <c r="J42" s="51"/>
      <c r="K42" s="51"/>
      <c r="L42" s="51"/>
      <c r="M42" s="52"/>
      <c r="N42" s="52"/>
      <c r="O42" s="51"/>
      <c r="P42" s="52"/>
      <c r="Q42" s="51"/>
      <c r="R42" s="51"/>
      <c r="S42" s="51"/>
    </row>
    <row r="43" spans="1:19" s="20" customFormat="1" ht="17.25">
      <c r="A43" s="51"/>
      <c r="B43" s="51"/>
      <c r="C43" s="52"/>
      <c r="D43" s="51"/>
      <c r="F43" s="51"/>
      <c r="G43" s="51"/>
      <c r="H43" s="52"/>
      <c r="I43" s="52"/>
      <c r="J43" s="51"/>
      <c r="K43" s="51"/>
      <c r="L43" s="51"/>
      <c r="M43" s="52"/>
      <c r="N43" s="52"/>
      <c r="O43" s="51"/>
      <c r="P43" s="52"/>
      <c r="Q43" s="51"/>
      <c r="R43" s="51"/>
      <c r="S43" s="51"/>
    </row>
    <row r="44" spans="1:19" s="20" customFormat="1" ht="17.25">
      <c r="A44" s="51"/>
      <c r="B44" s="51"/>
      <c r="C44" s="52"/>
      <c r="D44" s="51"/>
      <c r="F44" s="51"/>
      <c r="G44" s="51"/>
      <c r="H44" s="52"/>
      <c r="I44" s="52"/>
      <c r="J44" s="51"/>
      <c r="K44" s="51"/>
      <c r="L44" s="51"/>
      <c r="M44" s="52"/>
      <c r="N44" s="52"/>
      <c r="O44" s="51"/>
      <c r="P44" s="52"/>
      <c r="Q44" s="51"/>
      <c r="R44" s="51"/>
      <c r="S44" s="51"/>
    </row>
    <row r="45" spans="1:19" s="20" customFormat="1" ht="17.25">
      <c r="A45" s="51"/>
      <c r="B45" s="51"/>
      <c r="C45" s="52"/>
      <c r="D45" s="51"/>
      <c r="F45" s="51"/>
      <c r="G45" s="51"/>
      <c r="H45" s="52"/>
      <c r="I45" s="52"/>
      <c r="J45" s="51"/>
      <c r="K45" s="51"/>
      <c r="L45" s="51"/>
      <c r="M45" s="52"/>
      <c r="N45" s="52"/>
      <c r="O45" s="51"/>
      <c r="P45" s="52"/>
      <c r="Q45" s="51"/>
      <c r="R45" s="51"/>
      <c r="S45" s="51"/>
    </row>
    <row r="46" spans="1:19" s="20" customFormat="1" ht="17.25">
      <c r="A46" s="51"/>
      <c r="B46" s="51"/>
      <c r="C46" s="52"/>
      <c r="D46" s="51"/>
      <c r="F46" s="51"/>
      <c r="G46" s="51"/>
      <c r="H46" s="52"/>
      <c r="I46" s="52"/>
      <c r="J46" s="51"/>
      <c r="K46" s="51"/>
      <c r="L46" s="51"/>
      <c r="M46" s="52"/>
      <c r="N46" s="52"/>
      <c r="O46" s="51"/>
      <c r="P46" s="52"/>
      <c r="Q46" s="51"/>
      <c r="R46" s="51"/>
      <c r="S46" s="51"/>
    </row>
    <row r="47" spans="1:19" s="20" customFormat="1" ht="17.25">
      <c r="A47" s="51"/>
      <c r="B47" s="51"/>
      <c r="C47" s="52"/>
      <c r="D47" s="51"/>
      <c r="F47" s="51"/>
      <c r="G47" s="51"/>
      <c r="H47" s="52"/>
      <c r="I47" s="52"/>
      <c r="J47" s="51"/>
      <c r="K47" s="51"/>
      <c r="L47" s="51"/>
      <c r="M47" s="52"/>
      <c r="N47" s="52"/>
      <c r="O47" s="51"/>
      <c r="P47" s="52"/>
      <c r="Q47" s="51"/>
      <c r="R47" s="51"/>
      <c r="S47" s="51"/>
    </row>
    <row r="48" spans="1:19" s="20" customFormat="1" ht="17.25">
      <c r="A48" s="51"/>
      <c r="B48" s="51"/>
      <c r="C48" s="52"/>
      <c r="D48" s="51"/>
      <c r="F48" s="51"/>
      <c r="G48" s="51"/>
      <c r="H48" s="52"/>
      <c r="I48" s="52"/>
      <c r="J48" s="51"/>
      <c r="K48" s="51"/>
      <c r="L48" s="51"/>
      <c r="M48" s="52"/>
      <c r="N48" s="52"/>
      <c r="O48" s="51"/>
      <c r="P48" s="52"/>
      <c r="Q48" s="51"/>
      <c r="R48" s="51"/>
      <c r="S48" s="51"/>
    </row>
    <row r="49" spans="1:19" s="20" customFormat="1" ht="17.25">
      <c r="A49" s="51"/>
      <c r="B49" s="51"/>
      <c r="C49" s="52"/>
      <c r="D49" s="51"/>
      <c r="F49" s="51"/>
      <c r="G49" s="51"/>
      <c r="H49" s="52"/>
      <c r="I49" s="52"/>
      <c r="J49" s="51"/>
      <c r="K49" s="51"/>
      <c r="L49" s="51"/>
      <c r="M49" s="52"/>
      <c r="N49" s="52"/>
      <c r="O49" s="51"/>
      <c r="P49" s="52"/>
      <c r="Q49" s="51"/>
      <c r="R49" s="51"/>
      <c r="S49" s="51"/>
    </row>
    <row r="50" spans="1:19" s="20" customFormat="1" ht="17.25">
      <c r="A50" s="51"/>
      <c r="B50" s="51"/>
      <c r="C50" s="52"/>
      <c r="D50" s="51"/>
      <c r="F50" s="51"/>
      <c r="G50" s="51"/>
      <c r="H50" s="52"/>
      <c r="I50" s="52"/>
      <c r="J50" s="51"/>
      <c r="K50" s="51"/>
      <c r="L50" s="51"/>
      <c r="M50" s="52"/>
      <c r="N50" s="52"/>
      <c r="O50" s="51"/>
      <c r="P50" s="52"/>
      <c r="Q50" s="51"/>
      <c r="R50" s="51"/>
      <c r="S50" s="51"/>
    </row>
    <row r="51" spans="1:19" s="20" customFormat="1" ht="17.25">
      <c r="A51" s="51"/>
      <c r="B51" s="51"/>
      <c r="C51" s="52"/>
      <c r="D51" s="51"/>
      <c r="F51" s="51"/>
      <c r="G51" s="51"/>
      <c r="H51" s="52"/>
      <c r="I51" s="52"/>
      <c r="J51" s="51"/>
      <c r="K51" s="51"/>
      <c r="L51" s="51"/>
      <c r="M51" s="52"/>
      <c r="N51" s="52"/>
      <c r="O51" s="51"/>
      <c r="P51" s="52"/>
      <c r="Q51" s="51"/>
      <c r="R51" s="51"/>
      <c r="S51" s="51"/>
    </row>
    <row r="52" spans="1:19" s="20" customFormat="1" ht="17.25">
      <c r="A52" s="51"/>
      <c r="B52" s="51"/>
      <c r="C52" s="52"/>
      <c r="D52" s="51"/>
      <c r="F52" s="51"/>
      <c r="G52" s="51"/>
      <c r="H52" s="52"/>
      <c r="I52" s="52"/>
      <c r="J52" s="51"/>
      <c r="K52" s="51"/>
      <c r="L52" s="51"/>
      <c r="M52" s="52"/>
      <c r="N52" s="52"/>
      <c r="O52" s="51"/>
      <c r="P52" s="52"/>
      <c r="Q52" s="51"/>
      <c r="R52" s="51"/>
      <c r="S52" s="51"/>
    </row>
    <row r="53" spans="1:19" s="20" customFormat="1" ht="17.25">
      <c r="A53" s="51"/>
      <c r="B53" s="51"/>
      <c r="C53" s="52"/>
      <c r="D53" s="51"/>
      <c r="F53" s="51"/>
      <c r="G53" s="51"/>
      <c r="H53" s="52"/>
      <c r="I53" s="52"/>
      <c r="J53" s="51"/>
      <c r="K53" s="51"/>
      <c r="L53" s="51"/>
      <c r="M53" s="52"/>
      <c r="N53" s="52"/>
      <c r="O53" s="51"/>
      <c r="P53" s="52"/>
      <c r="Q53" s="51"/>
      <c r="R53" s="51"/>
      <c r="S53" s="51"/>
    </row>
    <row r="54" spans="1:19" s="20" customFormat="1" ht="17.25">
      <c r="A54" s="51"/>
      <c r="B54" s="51"/>
      <c r="C54" s="52"/>
      <c r="D54" s="51"/>
      <c r="F54" s="51"/>
      <c r="G54" s="51"/>
      <c r="H54" s="52"/>
      <c r="I54" s="52"/>
      <c r="J54" s="51"/>
      <c r="K54" s="51"/>
      <c r="L54" s="51"/>
      <c r="M54" s="52"/>
      <c r="N54" s="52"/>
      <c r="O54" s="51"/>
      <c r="P54" s="52"/>
      <c r="Q54" s="51"/>
      <c r="R54" s="51"/>
      <c r="S54" s="51"/>
    </row>
    <row r="55" spans="1:19" s="20" customFormat="1" ht="17.25">
      <c r="A55" s="51"/>
      <c r="B55" s="51"/>
      <c r="C55" s="52"/>
      <c r="D55" s="51"/>
      <c r="F55" s="51"/>
      <c r="G55" s="51"/>
      <c r="H55" s="52"/>
      <c r="I55" s="52"/>
      <c r="J55" s="51"/>
      <c r="K55" s="51"/>
      <c r="L55" s="51"/>
      <c r="M55" s="52"/>
      <c r="N55" s="52"/>
      <c r="O55" s="51"/>
      <c r="P55" s="52"/>
      <c r="Q55" s="51"/>
      <c r="R55" s="51"/>
      <c r="S55" s="51"/>
    </row>
    <row r="56" spans="1:19" s="20" customFormat="1" ht="17.25">
      <c r="A56" s="51"/>
      <c r="B56" s="51"/>
      <c r="C56" s="52"/>
      <c r="D56" s="51"/>
      <c r="F56" s="51"/>
      <c r="G56" s="51"/>
      <c r="H56" s="52"/>
      <c r="I56" s="52"/>
      <c r="J56" s="51"/>
      <c r="K56" s="51"/>
      <c r="L56" s="51"/>
      <c r="M56" s="52"/>
      <c r="N56" s="52"/>
      <c r="O56" s="51"/>
      <c r="P56" s="52"/>
      <c r="Q56" s="51"/>
      <c r="R56" s="51"/>
      <c r="S56" s="51"/>
    </row>
    <row r="57" spans="1:19" s="20" customFormat="1" ht="17.25">
      <c r="A57" s="51"/>
      <c r="B57" s="51"/>
      <c r="C57" s="52"/>
      <c r="D57" s="51"/>
      <c r="F57" s="51"/>
      <c r="G57" s="51"/>
      <c r="H57" s="52"/>
      <c r="I57" s="52"/>
      <c r="J57" s="51"/>
      <c r="K57" s="51"/>
      <c r="L57" s="51"/>
      <c r="M57" s="52"/>
      <c r="N57" s="52"/>
      <c r="O57" s="51"/>
      <c r="P57" s="52"/>
      <c r="Q57" s="51"/>
      <c r="R57" s="51"/>
      <c r="S57" s="51"/>
    </row>
    <row r="58" spans="1:19" s="20" customFormat="1" ht="17.25">
      <c r="A58" s="51"/>
      <c r="B58" s="51"/>
      <c r="C58" s="52"/>
      <c r="D58" s="51"/>
      <c r="F58" s="51"/>
      <c r="G58" s="51"/>
      <c r="H58" s="52"/>
      <c r="I58" s="52"/>
      <c r="J58" s="51"/>
      <c r="K58" s="51"/>
      <c r="L58" s="51"/>
      <c r="M58" s="52"/>
      <c r="N58" s="52"/>
      <c r="O58" s="51"/>
      <c r="P58" s="52"/>
      <c r="Q58" s="51"/>
      <c r="R58" s="51"/>
      <c r="S58" s="51"/>
    </row>
    <row r="59" spans="1:19" s="20" customFormat="1" ht="17.25">
      <c r="A59" s="51"/>
      <c r="B59" s="51"/>
      <c r="C59" s="52"/>
      <c r="D59" s="51"/>
      <c r="F59" s="51"/>
      <c r="G59" s="51"/>
      <c r="H59" s="52"/>
      <c r="I59" s="52"/>
      <c r="J59" s="51"/>
      <c r="K59" s="51"/>
      <c r="L59" s="51"/>
      <c r="M59" s="52"/>
      <c r="N59" s="52"/>
      <c r="O59" s="51"/>
      <c r="P59" s="52"/>
      <c r="Q59" s="51"/>
      <c r="R59" s="51"/>
      <c r="S59" s="51"/>
    </row>
    <row r="60" spans="1:19" s="20" customFormat="1" ht="17.25">
      <c r="A60" s="51"/>
      <c r="B60" s="51"/>
      <c r="C60" s="52"/>
      <c r="D60" s="51"/>
      <c r="F60" s="51"/>
      <c r="G60" s="51"/>
      <c r="H60" s="52"/>
      <c r="I60" s="52"/>
      <c r="J60" s="51"/>
      <c r="K60" s="51"/>
      <c r="L60" s="51"/>
      <c r="M60" s="52"/>
      <c r="N60" s="52"/>
      <c r="O60" s="51"/>
      <c r="P60" s="52"/>
      <c r="Q60" s="51"/>
      <c r="R60" s="51"/>
      <c r="S60" s="51"/>
    </row>
    <row r="61" spans="1:19" s="20" customFormat="1" ht="17.25">
      <c r="A61" s="51"/>
      <c r="B61" s="51"/>
      <c r="C61" s="52"/>
      <c r="D61" s="51"/>
      <c r="F61" s="51"/>
      <c r="G61" s="51"/>
      <c r="H61" s="52"/>
      <c r="I61" s="52"/>
      <c r="J61" s="51"/>
      <c r="K61" s="51"/>
      <c r="L61" s="51"/>
      <c r="M61" s="52"/>
      <c r="N61" s="52"/>
      <c r="O61" s="51"/>
      <c r="P61" s="52"/>
      <c r="Q61" s="51"/>
      <c r="R61" s="51"/>
      <c r="S61" s="51"/>
    </row>
    <row r="62" spans="1:19" s="20" customFormat="1" ht="17.25">
      <c r="A62" s="51"/>
      <c r="B62" s="51"/>
      <c r="C62" s="52"/>
      <c r="D62" s="51"/>
      <c r="F62" s="51"/>
      <c r="G62" s="51"/>
      <c r="H62" s="52"/>
      <c r="I62" s="52"/>
      <c r="J62" s="51"/>
      <c r="K62" s="51"/>
      <c r="L62" s="51"/>
      <c r="M62" s="52"/>
      <c r="N62" s="52"/>
      <c r="O62" s="51"/>
      <c r="P62" s="52"/>
      <c r="Q62" s="51"/>
      <c r="R62" s="51"/>
      <c r="S62" s="51"/>
    </row>
    <row r="63" spans="1:19" s="20" customFormat="1" ht="17.25">
      <c r="A63" s="51"/>
      <c r="B63" s="51"/>
      <c r="C63" s="52"/>
      <c r="D63" s="51"/>
      <c r="F63" s="51"/>
      <c r="G63" s="51"/>
      <c r="H63" s="52"/>
      <c r="I63" s="52"/>
      <c r="J63" s="51"/>
      <c r="K63" s="51"/>
      <c r="L63" s="51"/>
      <c r="M63" s="52"/>
      <c r="N63" s="52"/>
      <c r="O63" s="51"/>
      <c r="P63" s="52"/>
      <c r="Q63" s="51"/>
      <c r="R63" s="51"/>
      <c r="S63" s="51"/>
    </row>
    <row r="64" spans="1:19" s="20" customFormat="1" ht="17.25">
      <c r="A64" s="51"/>
      <c r="B64" s="51"/>
      <c r="C64" s="52"/>
      <c r="D64" s="51"/>
      <c r="F64" s="51"/>
      <c r="G64" s="51"/>
      <c r="H64" s="52"/>
      <c r="I64" s="52"/>
      <c r="J64" s="51"/>
      <c r="K64" s="51"/>
      <c r="L64" s="51"/>
      <c r="M64" s="52"/>
      <c r="N64" s="52"/>
      <c r="O64" s="51"/>
      <c r="P64" s="52"/>
      <c r="Q64" s="51"/>
      <c r="R64" s="51"/>
      <c r="S64" s="51"/>
    </row>
    <row r="65" spans="1:19" s="20" customFormat="1" ht="17.25">
      <c r="A65" s="51"/>
      <c r="B65" s="51"/>
      <c r="C65" s="52"/>
      <c r="D65" s="51"/>
      <c r="F65" s="51"/>
      <c r="G65" s="51"/>
      <c r="H65" s="52"/>
      <c r="I65" s="52"/>
      <c r="J65" s="51"/>
      <c r="K65" s="51"/>
      <c r="L65" s="51"/>
      <c r="M65" s="52"/>
      <c r="N65" s="52"/>
      <c r="O65" s="51"/>
      <c r="P65" s="52"/>
      <c r="Q65" s="51"/>
      <c r="R65" s="51"/>
      <c r="S65" s="51"/>
    </row>
    <row r="66" spans="1:19" s="20" customFormat="1" ht="17.25">
      <c r="A66" s="51"/>
      <c r="B66" s="51"/>
      <c r="C66" s="52"/>
      <c r="D66" s="51"/>
      <c r="F66" s="51"/>
      <c r="G66" s="51"/>
      <c r="H66" s="52"/>
      <c r="I66" s="52"/>
      <c r="J66" s="51"/>
      <c r="K66" s="51"/>
      <c r="L66" s="51"/>
      <c r="M66" s="52"/>
      <c r="N66" s="52"/>
      <c r="O66" s="51"/>
      <c r="P66" s="52"/>
      <c r="Q66" s="51"/>
      <c r="R66" s="51"/>
      <c r="S66" s="51"/>
    </row>
    <row r="67" spans="1:19" s="20" customFormat="1" ht="17.25">
      <c r="A67" s="51"/>
      <c r="B67" s="51"/>
      <c r="C67" s="52"/>
      <c r="D67" s="51"/>
      <c r="F67" s="51"/>
      <c r="G67" s="51"/>
      <c r="H67" s="52"/>
      <c r="I67" s="52"/>
      <c r="J67" s="51"/>
      <c r="K67" s="51"/>
      <c r="L67" s="51"/>
      <c r="M67" s="52"/>
      <c r="N67" s="52"/>
      <c r="O67" s="51"/>
      <c r="P67" s="52"/>
      <c r="Q67" s="51"/>
      <c r="R67" s="51"/>
      <c r="S67" s="51"/>
    </row>
    <row r="68" spans="1:19" s="20" customFormat="1" ht="17.25">
      <c r="A68" s="51"/>
      <c r="B68" s="51"/>
      <c r="C68" s="52"/>
      <c r="D68" s="51"/>
      <c r="F68" s="51"/>
      <c r="G68" s="51"/>
      <c r="H68" s="52"/>
      <c r="I68" s="52"/>
      <c r="J68" s="51"/>
      <c r="K68" s="51"/>
      <c r="L68" s="51"/>
      <c r="M68" s="52"/>
      <c r="N68" s="52"/>
      <c r="O68" s="51"/>
      <c r="P68" s="52"/>
      <c r="Q68" s="51"/>
      <c r="R68" s="51"/>
      <c r="S68" s="51"/>
    </row>
    <row r="69" spans="1:19" s="20" customFormat="1" ht="17.25">
      <c r="A69" s="51"/>
      <c r="B69" s="51"/>
      <c r="C69" s="52"/>
      <c r="D69" s="51"/>
      <c r="F69" s="51"/>
      <c r="G69" s="51"/>
      <c r="H69" s="52"/>
      <c r="I69" s="52"/>
      <c r="J69" s="51"/>
      <c r="K69" s="51"/>
      <c r="L69" s="51"/>
      <c r="M69" s="52"/>
      <c r="N69" s="52"/>
      <c r="O69" s="51"/>
      <c r="P69" s="52"/>
      <c r="Q69" s="51"/>
      <c r="R69" s="51"/>
      <c r="S69" s="51"/>
    </row>
    <row r="70" spans="1:19" s="20" customFormat="1" ht="17.25">
      <c r="A70" s="51"/>
      <c r="B70" s="51"/>
      <c r="C70" s="52"/>
      <c r="D70" s="51"/>
      <c r="F70" s="51"/>
      <c r="G70" s="51"/>
      <c r="H70" s="52"/>
      <c r="I70" s="52"/>
      <c r="J70" s="51"/>
      <c r="K70" s="51"/>
      <c r="L70" s="51"/>
      <c r="M70" s="52"/>
      <c r="N70" s="52"/>
      <c r="O70" s="51"/>
      <c r="P70" s="52"/>
      <c r="Q70" s="51"/>
      <c r="R70" s="51"/>
      <c r="S70" s="51"/>
    </row>
    <row r="71" spans="1:19" s="20" customFormat="1" ht="17.25">
      <c r="A71" s="51"/>
      <c r="B71" s="51"/>
      <c r="C71" s="52"/>
      <c r="D71" s="51"/>
      <c r="F71" s="51"/>
      <c r="G71" s="51"/>
      <c r="H71" s="52"/>
      <c r="I71" s="52"/>
      <c r="J71" s="51"/>
      <c r="K71" s="51"/>
      <c r="L71" s="51"/>
      <c r="M71" s="52"/>
      <c r="N71" s="52"/>
      <c r="O71" s="51"/>
      <c r="P71" s="52"/>
      <c r="Q71" s="51"/>
      <c r="R71" s="51"/>
      <c r="S71" s="51"/>
    </row>
    <row r="72" spans="1:19" s="20" customFormat="1" ht="17.25">
      <c r="A72" s="51"/>
      <c r="B72" s="51"/>
      <c r="C72" s="52"/>
      <c r="D72" s="51"/>
      <c r="F72" s="51"/>
      <c r="G72" s="51"/>
      <c r="H72" s="52"/>
      <c r="I72" s="52"/>
      <c r="J72" s="51"/>
      <c r="K72" s="51"/>
      <c r="L72" s="51"/>
      <c r="M72" s="52"/>
      <c r="N72" s="52"/>
      <c r="O72" s="51"/>
      <c r="P72" s="52"/>
      <c r="Q72" s="51"/>
      <c r="R72" s="51"/>
      <c r="S72" s="51"/>
    </row>
    <row r="73" spans="1:19" s="20" customFormat="1" ht="17.25">
      <c r="A73" s="51"/>
      <c r="B73" s="51"/>
      <c r="C73" s="52"/>
      <c r="D73" s="51"/>
      <c r="F73" s="51"/>
      <c r="G73" s="51"/>
      <c r="H73" s="52"/>
      <c r="I73" s="52"/>
      <c r="J73" s="51"/>
      <c r="K73" s="51"/>
      <c r="L73" s="51"/>
      <c r="M73" s="52"/>
      <c r="N73" s="52"/>
      <c r="O73" s="51"/>
      <c r="P73" s="52"/>
      <c r="Q73" s="51"/>
      <c r="R73" s="51"/>
      <c r="S73" s="51"/>
    </row>
    <row r="74" spans="1:19" s="20" customFormat="1" ht="17.25">
      <c r="A74" s="51"/>
      <c r="B74" s="51"/>
      <c r="C74" s="52"/>
      <c r="D74" s="51"/>
      <c r="F74" s="51"/>
      <c r="G74" s="51"/>
      <c r="H74" s="52"/>
      <c r="I74" s="52"/>
      <c r="J74" s="51"/>
      <c r="K74" s="51"/>
      <c r="L74" s="51"/>
      <c r="M74" s="52"/>
      <c r="N74" s="52"/>
      <c r="O74" s="51"/>
      <c r="P74" s="52"/>
      <c r="Q74" s="51"/>
      <c r="R74" s="51"/>
      <c r="S74" s="51"/>
    </row>
    <row r="75" spans="1:19" s="20" customFormat="1" ht="17.25">
      <c r="A75" s="51"/>
      <c r="B75" s="51"/>
      <c r="C75" s="52"/>
      <c r="D75" s="51"/>
      <c r="F75" s="51"/>
      <c r="G75" s="51"/>
      <c r="H75" s="52"/>
      <c r="I75" s="52"/>
      <c r="J75" s="51"/>
      <c r="K75" s="51"/>
      <c r="L75" s="51"/>
      <c r="M75" s="52"/>
      <c r="N75" s="52"/>
      <c r="O75" s="51"/>
      <c r="P75" s="52"/>
      <c r="Q75" s="51"/>
      <c r="R75" s="51"/>
      <c r="S75" s="51"/>
    </row>
    <row r="76" spans="1:19" s="20" customFormat="1" ht="17.25">
      <c r="A76" s="51"/>
      <c r="B76" s="51"/>
      <c r="C76" s="52"/>
      <c r="D76" s="51"/>
      <c r="F76" s="51"/>
      <c r="G76" s="51"/>
      <c r="H76" s="52"/>
      <c r="I76" s="52"/>
      <c r="J76" s="51"/>
      <c r="K76" s="51"/>
      <c r="L76" s="51"/>
      <c r="M76" s="52"/>
      <c r="N76" s="52"/>
      <c r="O76" s="51"/>
      <c r="P76" s="52"/>
      <c r="Q76" s="51"/>
      <c r="R76" s="51"/>
      <c r="S76" s="51"/>
    </row>
    <row r="77" spans="1:19" s="20" customFormat="1" ht="17.25">
      <c r="A77" s="51"/>
      <c r="B77" s="51"/>
      <c r="C77" s="52"/>
      <c r="D77" s="51"/>
      <c r="F77" s="51"/>
      <c r="G77" s="51"/>
      <c r="H77" s="52"/>
      <c r="I77" s="52"/>
      <c r="J77" s="51"/>
      <c r="K77" s="51"/>
      <c r="L77" s="51"/>
      <c r="M77" s="52"/>
      <c r="N77" s="52"/>
      <c r="O77" s="51"/>
      <c r="P77" s="52"/>
      <c r="Q77" s="51"/>
      <c r="R77" s="51"/>
      <c r="S77" s="51"/>
    </row>
    <row r="78" spans="1:19" s="20" customFormat="1" ht="17.25">
      <c r="A78" s="51"/>
      <c r="B78" s="51"/>
      <c r="C78" s="52"/>
      <c r="D78" s="51"/>
      <c r="F78" s="51"/>
      <c r="G78" s="51"/>
      <c r="H78" s="52"/>
      <c r="I78" s="52"/>
      <c r="J78" s="51"/>
      <c r="K78" s="51"/>
      <c r="L78" s="51"/>
      <c r="M78" s="52"/>
      <c r="N78" s="52"/>
      <c r="O78" s="51"/>
      <c r="P78" s="52"/>
      <c r="Q78" s="51"/>
      <c r="R78" s="51"/>
      <c r="S78" s="51"/>
    </row>
    <row r="79" spans="1:19" s="20" customFormat="1" ht="17.25">
      <c r="A79" s="51"/>
      <c r="B79" s="51"/>
      <c r="C79" s="52"/>
      <c r="D79" s="51"/>
      <c r="F79" s="51"/>
      <c r="G79" s="51"/>
      <c r="H79" s="52"/>
      <c r="I79" s="52"/>
      <c r="J79" s="51"/>
      <c r="K79" s="51"/>
      <c r="L79" s="51"/>
      <c r="M79" s="52"/>
      <c r="N79" s="52"/>
      <c r="O79" s="51"/>
      <c r="P79" s="52"/>
      <c r="Q79" s="51"/>
      <c r="R79" s="51"/>
      <c r="S79" s="51"/>
    </row>
    <row r="80" spans="1:19" s="20" customFormat="1" ht="17.25">
      <c r="A80" s="51"/>
      <c r="B80" s="51"/>
      <c r="C80" s="52"/>
      <c r="D80" s="51"/>
      <c r="F80" s="51"/>
      <c r="G80" s="51"/>
      <c r="H80" s="52"/>
      <c r="I80" s="52"/>
      <c r="J80" s="51"/>
      <c r="K80" s="51"/>
      <c r="L80" s="51"/>
      <c r="M80" s="52"/>
      <c r="N80" s="52"/>
      <c r="O80" s="51"/>
      <c r="P80" s="52"/>
      <c r="Q80" s="51"/>
      <c r="R80" s="51"/>
      <c r="S80" s="51"/>
    </row>
    <row r="81" spans="1:19" s="20" customFormat="1" ht="17.25">
      <c r="A81" s="51"/>
      <c r="B81" s="51"/>
      <c r="C81" s="52"/>
      <c r="D81" s="51"/>
      <c r="F81" s="51"/>
      <c r="G81" s="51"/>
      <c r="H81" s="52"/>
      <c r="I81" s="52"/>
      <c r="J81" s="51"/>
      <c r="K81" s="51"/>
      <c r="L81" s="51"/>
      <c r="M81" s="52"/>
      <c r="N81" s="52"/>
      <c r="O81" s="51"/>
      <c r="P81" s="52"/>
      <c r="Q81" s="51"/>
      <c r="R81" s="51"/>
      <c r="S81" s="51"/>
    </row>
    <row r="82" spans="1:19" s="20" customFormat="1" ht="17.25">
      <c r="A82" s="51"/>
      <c r="B82" s="51"/>
      <c r="C82" s="52"/>
      <c r="D82" s="51"/>
      <c r="F82" s="51"/>
      <c r="G82" s="51"/>
      <c r="H82" s="52"/>
      <c r="I82" s="52"/>
      <c r="J82" s="51"/>
      <c r="K82" s="51"/>
      <c r="L82" s="51"/>
      <c r="M82" s="52"/>
      <c r="N82" s="52"/>
      <c r="O82" s="51"/>
      <c r="P82" s="52"/>
      <c r="Q82" s="51"/>
      <c r="R82" s="51"/>
      <c r="S82" s="51"/>
    </row>
    <row r="83" spans="1:19" s="20" customFormat="1" ht="17.25">
      <c r="A83" s="51"/>
      <c r="B83" s="51"/>
      <c r="C83" s="52"/>
      <c r="D83" s="51"/>
      <c r="F83" s="51"/>
      <c r="G83" s="51"/>
      <c r="H83" s="52"/>
      <c r="I83" s="52"/>
      <c r="J83" s="51"/>
      <c r="K83" s="51"/>
      <c r="L83" s="51"/>
      <c r="M83" s="52"/>
      <c r="N83" s="52"/>
      <c r="O83" s="51"/>
      <c r="P83" s="52"/>
      <c r="Q83" s="51"/>
      <c r="R83" s="51"/>
      <c r="S83" s="51"/>
    </row>
    <row r="84" spans="1:19" s="20" customFormat="1" ht="17.25">
      <c r="A84" s="51"/>
      <c r="B84" s="51"/>
      <c r="C84" s="52"/>
      <c r="D84" s="51"/>
      <c r="F84" s="51"/>
      <c r="G84" s="51"/>
      <c r="H84" s="52"/>
      <c r="I84" s="52"/>
      <c r="J84" s="51"/>
      <c r="K84" s="51"/>
      <c r="L84" s="51"/>
      <c r="M84" s="52"/>
      <c r="N84" s="52"/>
      <c r="O84" s="51"/>
      <c r="P84" s="52"/>
      <c r="Q84" s="51"/>
      <c r="R84" s="51"/>
      <c r="S84" s="51"/>
    </row>
    <row r="85" spans="1:19" s="20" customFormat="1" ht="17.25">
      <c r="A85" s="51"/>
      <c r="B85" s="51"/>
      <c r="C85" s="52"/>
      <c r="D85" s="51"/>
      <c r="F85" s="51"/>
      <c r="G85" s="51"/>
      <c r="H85" s="52"/>
      <c r="I85" s="52"/>
      <c r="J85" s="51"/>
      <c r="K85" s="51"/>
      <c r="L85" s="51"/>
      <c r="M85" s="52"/>
      <c r="N85" s="52"/>
      <c r="O85" s="51"/>
      <c r="P85" s="52"/>
      <c r="Q85" s="51"/>
      <c r="R85" s="51"/>
      <c r="S85" s="51"/>
    </row>
    <row r="86" spans="1:19" s="20" customFormat="1" ht="17.25">
      <c r="A86" s="51"/>
      <c r="B86" s="51"/>
      <c r="C86" s="52"/>
      <c r="D86" s="51"/>
      <c r="F86" s="51"/>
      <c r="G86" s="51"/>
      <c r="H86" s="52"/>
      <c r="I86" s="52"/>
      <c r="J86" s="51"/>
      <c r="K86" s="51"/>
      <c r="L86" s="51"/>
      <c r="M86" s="52"/>
      <c r="N86" s="52"/>
      <c r="O86" s="51"/>
      <c r="P86" s="52"/>
      <c r="Q86" s="51"/>
      <c r="R86" s="51"/>
      <c r="S86" s="51"/>
    </row>
    <row r="87" spans="1:19" s="20" customFormat="1" ht="17.25">
      <c r="A87" s="51"/>
      <c r="B87" s="51"/>
      <c r="C87" s="52"/>
      <c r="D87" s="51"/>
      <c r="F87" s="51"/>
      <c r="G87" s="51"/>
      <c r="H87" s="52"/>
      <c r="I87" s="52"/>
      <c r="J87" s="51"/>
      <c r="K87" s="51"/>
      <c r="L87" s="51"/>
      <c r="M87" s="52"/>
      <c r="N87" s="52"/>
      <c r="O87" s="51"/>
      <c r="P87" s="52"/>
      <c r="Q87" s="51"/>
      <c r="R87" s="51"/>
      <c r="S87" s="51"/>
    </row>
    <row r="88" spans="1:19" s="20" customFormat="1" ht="17.25">
      <c r="A88" s="51"/>
      <c r="B88" s="51"/>
      <c r="C88" s="52"/>
      <c r="D88" s="51"/>
      <c r="F88" s="51"/>
      <c r="G88" s="51"/>
      <c r="H88" s="52"/>
      <c r="I88" s="52"/>
      <c r="J88" s="51"/>
      <c r="K88" s="51"/>
      <c r="L88" s="51"/>
      <c r="M88" s="52"/>
      <c r="N88" s="52"/>
      <c r="O88" s="51"/>
      <c r="P88" s="52"/>
      <c r="Q88" s="51"/>
      <c r="R88" s="51"/>
      <c r="S88" s="51"/>
    </row>
    <row r="89" spans="1:19" s="20" customFormat="1" ht="17.25">
      <c r="A89" s="51"/>
      <c r="B89" s="51"/>
      <c r="C89" s="52"/>
      <c r="D89" s="51"/>
      <c r="F89" s="51"/>
      <c r="G89" s="51"/>
      <c r="H89" s="52"/>
      <c r="I89" s="52"/>
      <c r="J89" s="51"/>
      <c r="K89" s="51"/>
      <c r="L89" s="51"/>
      <c r="M89" s="52"/>
      <c r="N89" s="52"/>
      <c r="O89" s="51"/>
      <c r="P89" s="52"/>
      <c r="Q89" s="51"/>
      <c r="R89" s="51"/>
      <c r="S89" s="51"/>
    </row>
    <row r="90" spans="1:19" s="20" customFormat="1" ht="17.25">
      <c r="A90" s="51"/>
      <c r="B90" s="51"/>
      <c r="C90" s="52"/>
      <c r="D90" s="51"/>
      <c r="F90" s="51"/>
      <c r="G90" s="51"/>
      <c r="H90" s="52"/>
      <c r="I90" s="52"/>
      <c r="J90" s="51"/>
      <c r="K90" s="51"/>
      <c r="L90" s="51"/>
      <c r="M90" s="52"/>
      <c r="N90" s="52"/>
      <c r="O90" s="51"/>
      <c r="P90" s="52"/>
      <c r="Q90" s="51"/>
      <c r="R90" s="51"/>
      <c r="S90" s="51"/>
    </row>
    <row r="91" spans="1:19" s="20" customFormat="1" ht="17.25">
      <c r="A91" s="51"/>
      <c r="B91" s="51"/>
      <c r="C91" s="52"/>
      <c r="D91" s="51"/>
      <c r="F91" s="51"/>
      <c r="G91" s="51"/>
      <c r="H91" s="52"/>
      <c r="I91" s="52"/>
      <c r="J91" s="51"/>
      <c r="K91" s="51"/>
      <c r="L91" s="51"/>
      <c r="M91" s="52"/>
      <c r="N91" s="52"/>
      <c r="O91" s="51"/>
      <c r="P91" s="52"/>
      <c r="Q91" s="51"/>
      <c r="R91" s="51"/>
      <c r="S91" s="51"/>
    </row>
    <row r="92" spans="1:19" s="20" customFormat="1" ht="17.25">
      <c r="A92" s="51"/>
      <c r="B92" s="51"/>
      <c r="C92" s="52"/>
      <c r="D92" s="51"/>
      <c r="F92" s="51"/>
      <c r="G92" s="51"/>
      <c r="H92" s="52"/>
      <c r="I92" s="52"/>
      <c r="J92" s="51"/>
      <c r="K92" s="51"/>
      <c r="L92" s="51"/>
      <c r="M92" s="52"/>
      <c r="N92" s="52"/>
      <c r="O92" s="51"/>
      <c r="P92" s="52"/>
      <c r="Q92" s="51"/>
      <c r="R92" s="51"/>
      <c r="S92" s="51"/>
    </row>
    <row r="93" spans="1:19" s="20" customFormat="1" ht="17.25">
      <c r="A93" s="51"/>
      <c r="B93" s="51"/>
      <c r="C93" s="52"/>
      <c r="D93" s="51"/>
      <c r="F93" s="51"/>
      <c r="G93" s="51"/>
      <c r="H93" s="52"/>
      <c r="I93" s="52"/>
      <c r="J93" s="51"/>
      <c r="K93" s="51"/>
      <c r="L93" s="51"/>
      <c r="M93" s="52"/>
      <c r="N93" s="52"/>
      <c r="O93" s="51"/>
      <c r="P93" s="52"/>
      <c r="Q93" s="51"/>
      <c r="R93" s="51"/>
      <c r="S93" s="51"/>
    </row>
    <row r="94" spans="1:19" s="20" customFormat="1" ht="17.25">
      <c r="A94" s="51"/>
      <c r="B94" s="51"/>
      <c r="C94" s="52"/>
      <c r="D94" s="51"/>
      <c r="F94" s="51"/>
      <c r="G94" s="51"/>
      <c r="H94" s="52"/>
      <c r="I94" s="52"/>
      <c r="J94" s="51"/>
      <c r="K94" s="51"/>
      <c r="L94" s="51"/>
      <c r="M94" s="52"/>
      <c r="N94" s="52"/>
      <c r="O94" s="51"/>
      <c r="P94" s="52"/>
      <c r="Q94" s="51"/>
      <c r="R94" s="51"/>
      <c r="S94" s="51"/>
    </row>
    <row r="95" spans="1:19" s="20" customFormat="1" ht="17.25">
      <c r="A95" s="51"/>
      <c r="B95" s="51"/>
      <c r="C95" s="52"/>
      <c r="D95" s="51"/>
      <c r="F95" s="51"/>
      <c r="G95" s="51"/>
      <c r="H95" s="52"/>
      <c r="I95" s="52"/>
      <c r="J95" s="51"/>
      <c r="K95" s="51"/>
      <c r="L95" s="51"/>
      <c r="M95" s="52"/>
      <c r="N95" s="52"/>
      <c r="O95" s="51"/>
      <c r="P95" s="52"/>
      <c r="Q95" s="51"/>
      <c r="R95" s="51"/>
      <c r="S95" s="51"/>
    </row>
    <row r="96" spans="1:19" s="20" customFormat="1" ht="17.25">
      <c r="A96" s="51"/>
      <c r="B96" s="51"/>
      <c r="C96" s="52"/>
      <c r="D96" s="51"/>
      <c r="F96" s="51"/>
      <c r="G96" s="51"/>
      <c r="H96" s="52"/>
      <c r="I96" s="52"/>
      <c r="J96" s="51"/>
      <c r="K96" s="51"/>
      <c r="L96" s="51"/>
      <c r="M96" s="52"/>
      <c r="N96" s="52"/>
      <c r="O96" s="51"/>
      <c r="P96" s="52"/>
      <c r="Q96" s="51"/>
      <c r="R96" s="51"/>
      <c r="S96" s="51"/>
    </row>
    <row r="97" spans="1:19" s="20" customFormat="1" ht="17.25">
      <c r="A97" s="51"/>
      <c r="B97" s="51"/>
      <c r="C97" s="52"/>
      <c r="D97" s="51"/>
      <c r="F97" s="51"/>
      <c r="G97" s="51"/>
      <c r="H97" s="52"/>
      <c r="I97" s="52"/>
      <c r="J97" s="51"/>
      <c r="K97" s="51"/>
      <c r="L97" s="51"/>
      <c r="M97" s="52"/>
      <c r="N97" s="52"/>
      <c r="O97" s="51"/>
      <c r="P97" s="52"/>
      <c r="Q97" s="51"/>
      <c r="R97" s="51"/>
      <c r="S97" s="51"/>
    </row>
    <row r="98" spans="1:19" s="20" customFormat="1" ht="17.25">
      <c r="A98" s="51"/>
      <c r="B98" s="51"/>
      <c r="C98" s="52"/>
      <c r="D98" s="51"/>
      <c r="F98" s="51"/>
      <c r="G98" s="51"/>
      <c r="H98" s="52"/>
      <c r="I98" s="52"/>
      <c r="J98" s="51"/>
      <c r="K98" s="51"/>
      <c r="L98" s="51"/>
      <c r="M98" s="52"/>
      <c r="N98" s="52"/>
      <c r="O98" s="51"/>
      <c r="P98" s="52"/>
      <c r="Q98" s="51"/>
      <c r="R98" s="51"/>
      <c r="S98" s="51"/>
    </row>
    <row r="99" spans="1:19" s="20" customFormat="1" ht="17.25">
      <c r="A99" s="51"/>
      <c r="B99" s="51"/>
      <c r="C99" s="52"/>
      <c r="D99" s="51"/>
      <c r="F99" s="51"/>
      <c r="G99" s="51"/>
      <c r="H99" s="52"/>
      <c r="I99" s="52"/>
      <c r="J99" s="51"/>
      <c r="K99" s="51"/>
      <c r="L99" s="51"/>
      <c r="M99" s="52"/>
      <c r="N99" s="52"/>
      <c r="O99" s="51"/>
      <c r="P99" s="52"/>
      <c r="Q99" s="51"/>
      <c r="R99" s="51"/>
      <c r="S99" s="51"/>
    </row>
    <row r="100" spans="1:19" s="20" customFormat="1" ht="17.25">
      <c r="A100" s="51"/>
      <c r="B100" s="51"/>
      <c r="C100" s="52"/>
      <c r="D100" s="51"/>
      <c r="F100" s="51"/>
      <c r="G100" s="51"/>
      <c r="H100" s="52"/>
      <c r="I100" s="52"/>
      <c r="J100" s="51"/>
      <c r="K100" s="51"/>
      <c r="L100" s="51"/>
      <c r="M100" s="52"/>
      <c r="N100" s="52"/>
      <c r="O100" s="51"/>
      <c r="P100" s="52"/>
      <c r="Q100" s="51"/>
      <c r="R100" s="51"/>
      <c r="S100" s="51"/>
    </row>
    <row r="101" spans="1:19" s="20" customFormat="1" ht="17.25">
      <c r="A101" s="51"/>
      <c r="B101" s="51"/>
      <c r="C101" s="52"/>
      <c r="D101" s="51"/>
      <c r="F101" s="51"/>
      <c r="G101" s="51"/>
      <c r="H101" s="52"/>
      <c r="I101" s="52"/>
      <c r="J101" s="51"/>
      <c r="K101" s="51"/>
      <c r="L101" s="51"/>
      <c r="M101" s="52"/>
      <c r="N101" s="52"/>
      <c r="O101" s="51"/>
      <c r="P101" s="52"/>
      <c r="Q101" s="51"/>
      <c r="R101" s="51"/>
      <c r="S101" s="51"/>
    </row>
    <row r="102" spans="1:19" s="20" customFormat="1" ht="17.25">
      <c r="A102" s="51"/>
      <c r="B102" s="51"/>
      <c r="C102" s="52"/>
      <c r="D102" s="51"/>
      <c r="F102" s="51"/>
      <c r="G102" s="51"/>
      <c r="H102" s="52"/>
      <c r="I102" s="52"/>
      <c r="J102" s="51"/>
      <c r="K102" s="51"/>
      <c r="L102" s="51"/>
      <c r="M102" s="52"/>
      <c r="N102" s="52"/>
      <c r="O102" s="51"/>
      <c r="P102" s="52"/>
      <c r="Q102" s="51"/>
      <c r="R102" s="51"/>
      <c r="S102" s="51"/>
    </row>
    <row r="103" spans="1:19" s="20" customFormat="1" ht="17.25">
      <c r="A103" s="51"/>
      <c r="B103" s="51"/>
      <c r="C103" s="52"/>
      <c r="D103" s="51"/>
      <c r="F103" s="51"/>
      <c r="G103" s="51"/>
      <c r="H103" s="52"/>
      <c r="I103" s="52"/>
      <c r="J103" s="51"/>
      <c r="K103" s="51"/>
      <c r="L103" s="51"/>
      <c r="M103" s="52"/>
      <c r="N103" s="52"/>
      <c r="O103" s="51"/>
      <c r="P103" s="52"/>
      <c r="Q103" s="51"/>
      <c r="R103" s="51"/>
      <c r="S103" s="51"/>
    </row>
    <row r="104" spans="1:19" s="20" customFormat="1" ht="17.25">
      <c r="A104" s="51"/>
      <c r="B104" s="51"/>
      <c r="C104" s="52"/>
      <c r="D104" s="51"/>
      <c r="F104" s="51"/>
      <c r="G104" s="51"/>
      <c r="H104" s="52"/>
      <c r="I104" s="52"/>
      <c r="J104" s="51"/>
      <c r="K104" s="51"/>
      <c r="L104" s="51"/>
      <c r="M104" s="52"/>
      <c r="N104" s="52"/>
      <c r="O104" s="51"/>
      <c r="P104" s="52"/>
      <c r="Q104" s="51"/>
      <c r="R104" s="51"/>
      <c r="S104" s="51"/>
    </row>
    <row r="105" spans="1:19" s="20" customFormat="1" ht="17.25">
      <c r="A105" s="51"/>
      <c r="B105" s="51"/>
      <c r="C105" s="52"/>
      <c r="D105" s="51"/>
      <c r="F105" s="51"/>
      <c r="G105" s="51"/>
      <c r="H105" s="52"/>
      <c r="I105" s="52"/>
      <c r="J105" s="51"/>
      <c r="K105" s="51"/>
      <c r="L105" s="51"/>
      <c r="M105" s="52"/>
      <c r="N105" s="52"/>
      <c r="O105" s="51"/>
      <c r="P105" s="52"/>
      <c r="Q105" s="51"/>
      <c r="R105" s="51"/>
      <c r="S105" s="51"/>
    </row>
    <row r="106" spans="1:19" s="20" customFormat="1" ht="17.25">
      <c r="A106" s="51"/>
      <c r="B106" s="51"/>
      <c r="C106" s="52"/>
      <c r="D106" s="51"/>
      <c r="F106" s="51"/>
      <c r="G106" s="51"/>
      <c r="H106" s="52"/>
      <c r="I106" s="52"/>
      <c r="J106" s="51"/>
      <c r="K106" s="51"/>
      <c r="L106" s="51"/>
      <c r="M106" s="52"/>
      <c r="N106" s="52"/>
      <c r="O106" s="51"/>
      <c r="P106" s="52"/>
      <c r="Q106" s="51"/>
      <c r="R106" s="51"/>
      <c r="S106" s="51"/>
    </row>
    <row r="107" spans="1:19" s="20" customFormat="1" ht="17.25">
      <c r="A107" s="51"/>
      <c r="B107" s="51"/>
      <c r="C107" s="52"/>
      <c r="D107" s="51"/>
      <c r="F107" s="51"/>
      <c r="G107" s="51"/>
      <c r="H107" s="52"/>
      <c r="I107" s="52"/>
      <c r="J107" s="51"/>
      <c r="K107" s="51"/>
      <c r="L107" s="51"/>
      <c r="M107" s="52"/>
      <c r="N107" s="52"/>
      <c r="O107" s="51"/>
      <c r="P107" s="52"/>
      <c r="Q107" s="51"/>
      <c r="R107" s="51"/>
      <c r="S107" s="51"/>
    </row>
    <row r="108" spans="1:19" s="20" customFormat="1" ht="17.25">
      <c r="A108" s="51"/>
      <c r="B108" s="51"/>
      <c r="C108" s="52"/>
      <c r="D108" s="51"/>
      <c r="F108" s="51"/>
      <c r="G108" s="51"/>
      <c r="H108" s="52"/>
      <c r="I108" s="52"/>
      <c r="J108" s="51"/>
      <c r="K108" s="51"/>
      <c r="L108" s="51"/>
      <c r="M108" s="52"/>
      <c r="N108" s="52"/>
      <c r="O108" s="51"/>
      <c r="P108" s="52"/>
      <c r="Q108" s="51"/>
      <c r="R108" s="51"/>
      <c r="S108" s="51"/>
    </row>
    <row r="109" spans="1:19" s="20" customFormat="1" ht="17.25">
      <c r="A109" s="51"/>
      <c r="B109" s="51"/>
      <c r="C109" s="52"/>
      <c r="D109" s="51"/>
      <c r="F109" s="51"/>
      <c r="G109" s="51"/>
      <c r="H109" s="52"/>
      <c r="I109" s="52"/>
      <c r="J109" s="51"/>
      <c r="K109" s="51"/>
      <c r="L109" s="51"/>
      <c r="M109" s="52"/>
      <c r="N109" s="52"/>
      <c r="O109" s="51"/>
      <c r="P109" s="52"/>
      <c r="Q109" s="51"/>
      <c r="R109" s="51"/>
      <c r="S109" s="51"/>
    </row>
    <row r="110" spans="1:19" s="20" customFormat="1" ht="17.25">
      <c r="A110" s="51"/>
      <c r="B110" s="51"/>
      <c r="C110" s="52"/>
      <c r="D110" s="51"/>
      <c r="F110" s="51"/>
      <c r="G110" s="51"/>
      <c r="H110" s="52"/>
      <c r="I110" s="52"/>
      <c r="J110" s="51"/>
      <c r="K110" s="51"/>
      <c r="L110" s="51"/>
      <c r="M110" s="52"/>
      <c r="N110" s="52"/>
      <c r="O110" s="51"/>
      <c r="P110" s="52"/>
      <c r="Q110" s="51"/>
      <c r="R110" s="51"/>
      <c r="S110" s="51"/>
    </row>
    <row r="111" spans="1:19" s="20" customFormat="1" ht="17.25">
      <c r="A111" s="51"/>
      <c r="B111" s="51"/>
      <c r="C111" s="52"/>
      <c r="D111" s="51"/>
      <c r="F111" s="51"/>
      <c r="G111" s="51"/>
      <c r="H111" s="52"/>
      <c r="I111" s="52"/>
      <c r="J111" s="51"/>
      <c r="K111" s="51"/>
      <c r="L111" s="51"/>
      <c r="M111" s="52"/>
      <c r="N111" s="52"/>
      <c r="O111" s="51"/>
      <c r="P111" s="52"/>
      <c r="Q111" s="51"/>
      <c r="R111" s="51"/>
      <c r="S111" s="51"/>
    </row>
    <row r="112" spans="1:19" s="20" customFormat="1" ht="17.25">
      <c r="A112" s="51"/>
      <c r="B112" s="51"/>
      <c r="C112" s="52"/>
      <c r="D112" s="51"/>
      <c r="F112" s="51"/>
      <c r="G112" s="51"/>
      <c r="H112" s="52"/>
      <c r="I112" s="52"/>
      <c r="J112" s="51"/>
      <c r="K112" s="51"/>
      <c r="L112" s="51"/>
      <c r="M112" s="52"/>
      <c r="N112" s="52"/>
      <c r="O112" s="51"/>
      <c r="P112" s="52"/>
      <c r="Q112" s="51"/>
      <c r="R112" s="51"/>
      <c r="S112" s="51"/>
    </row>
    <row r="113" spans="1:19" s="20" customFormat="1" ht="17.25">
      <c r="A113" s="51"/>
      <c r="B113" s="51"/>
      <c r="C113" s="52"/>
      <c r="D113" s="51"/>
      <c r="F113" s="51"/>
      <c r="G113" s="51"/>
      <c r="H113" s="52"/>
      <c r="I113" s="52"/>
      <c r="J113" s="51"/>
      <c r="K113" s="51"/>
      <c r="L113" s="51"/>
      <c r="M113" s="52"/>
      <c r="N113" s="52"/>
      <c r="O113" s="51"/>
      <c r="P113" s="52"/>
      <c r="Q113" s="51"/>
      <c r="R113" s="51"/>
      <c r="S113" s="51"/>
    </row>
    <row r="114" spans="1:19" s="20" customFormat="1" ht="17.25">
      <c r="A114" s="51"/>
      <c r="B114" s="51"/>
      <c r="C114" s="52"/>
      <c r="D114" s="51"/>
      <c r="F114" s="51"/>
      <c r="G114" s="51"/>
      <c r="H114" s="52"/>
      <c r="I114" s="52"/>
      <c r="J114" s="51"/>
      <c r="K114" s="51"/>
      <c r="L114" s="51"/>
      <c r="M114" s="52"/>
      <c r="N114" s="52"/>
      <c r="O114" s="51"/>
      <c r="P114" s="52"/>
      <c r="Q114" s="51"/>
      <c r="R114" s="51"/>
      <c r="S114" s="51"/>
    </row>
    <row r="115" spans="1:19" s="20" customFormat="1" ht="17.25">
      <c r="A115" s="51"/>
      <c r="B115" s="51"/>
      <c r="C115" s="52"/>
      <c r="D115" s="51"/>
      <c r="F115" s="51"/>
      <c r="G115" s="51"/>
      <c r="H115" s="52"/>
      <c r="I115" s="52"/>
      <c r="J115" s="51"/>
      <c r="K115" s="51"/>
      <c r="L115" s="51"/>
      <c r="M115" s="52"/>
      <c r="N115" s="52"/>
      <c r="O115" s="51"/>
      <c r="P115" s="52"/>
      <c r="Q115" s="51"/>
      <c r="R115" s="51"/>
      <c r="S115" s="51"/>
    </row>
    <row r="116" spans="1:19" s="20" customFormat="1" ht="17.25">
      <c r="A116" s="51"/>
      <c r="B116" s="51"/>
      <c r="C116" s="52"/>
      <c r="D116" s="51"/>
      <c r="F116" s="51"/>
      <c r="G116" s="51"/>
      <c r="H116" s="52"/>
      <c r="I116" s="52"/>
      <c r="J116" s="51"/>
      <c r="K116" s="51"/>
      <c r="L116" s="51"/>
      <c r="M116" s="52"/>
      <c r="N116" s="52"/>
      <c r="O116" s="51"/>
      <c r="P116" s="52"/>
      <c r="Q116" s="51"/>
      <c r="R116" s="51"/>
      <c r="S116" s="51"/>
    </row>
    <row r="117" spans="1:19" s="20" customFormat="1" ht="17.25">
      <c r="A117" s="51"/>
      <c r="B117" s="51"/>
      <c r="C117" s="52"/>
      <c r="D117" s="51"/>
      <c r="F117" s="51"/>
      <c r="G117" s="51"/>
      <c r="H117" s="52"/>
      <c r="I117" s="52"/>
      <c r="J117" s="51"/>
      <c r="K117" s="51"/>
      <c r="L117" s="51"/>
      <c r="M117" s="52"/>
      <c r="N117" s="52"/>
      <c r="O117" s="51"/>
      <c r="P117" s="52"/>
      <c r="Q117" s="51"/>
      <c r="R117" s="51"/>
      <c r="S117" s="51"/>
    </row>
    <row r="118" spans="1:19" s="20" customFormat="1" ht="17.25">
      <c r="A118" s="51"/>
      <c r="B118" s="51"/>
      <c r="C118" s="52"/>
      <c r="D118" s="51"/>
      <c r="F118" s="51"/>
      <c r="G118" s="51"/>
      <c r="H118" s="52"/>
      <c r="I118" s="52"/>
      <c r="J118" s="51"/>
      <c r="K118" s="51"/>
      <c r="L118" s="51"/>
      <c r="M118" s="52"/>
      <c r="N118" s="52"/>
      <c r="O118" s="51"/>
      <c r="P118" s="52"/>
      <c r="Q118" s="51"/>
      <c r="R118" s="51"/>
      <c r="S118" s="51"/>
    </row>
    <row r="119" spans="1:19" s="20" customFormat="1" ht="17.25">
      <c r="A119" s="51"/>
      <c r="B119" s="51"/>
      <c r="C119" s="52"/>
      <c r="D119" s="51"/>
      <c r="F119" s="51"/>
      <c r="G119" s="51"/>
      <c r="H119" s="52"/>
      <c r="I119" s="52"/>
      <c r="J119" s="51"/>
      <c r="K119" s="51"/>
      <c r="L119" s="51"/>
      <c r="M119" s="52"/>
      <c r="N119" s="52"/>
      <c r="O119" s="51"/>
      <c r="P119" s="52"/>
      <c r="Q119" s="51"/>
      <c r="R119" s="51"/>
      <c r="S119" s="51"/>
    </row>
    <row r="120" spans="1:19" s="20" customFormat="1" ht="17.25">
      <c r="A120" s="51"/>
      <c r="B120" s="51"/>
      <c r="C120" s="52"/>
      <c r="D120" s="51"/>
      <c r="F120" s="51"/>
      <c r="G120" s="51"/>
      <c r="H120" s="52"/>
      <c r="I120" s="52"/>
      <c r="J120" s="51"/>
      <c r="K120" s="51"/>
      <c r="L120" s="51"/>
      <c r="M120" s="52"/>
      <c r="N120" s="52"/>
      <c r="O120" s="51"/>
      <c r="P120" s="52"/>
      <c r="Q120" s="51"/>
      <c r="R120" s="51"/>
      <c r="S120" s="51"/>
    </row>
    <row r="121" spans="1:19" s="20" customFormat="1" ht="17.25">
      <c r="A121" s="51"/>
      <c r="B121" s="51"/>
      <c r="C121" s="52"/>
      <c r="D121" s="51"/>
      <c r="F121" s="51"/>
      <c r="G121" s="51"/>
      <c r="H121" s="52"/>
      <c r="I121" s="52"/>
      <c r="J121" s="51"/>
      <c r="K121" s="51"/>
      <c r="L121" s="51"/>
      <c r="M121" s="52"/>
      <c r="N121" s="52"/>
      <c r="O121" s="51"/>
      <c r="P121" s="52"/>
      <c r="Q121" s="51"/>
      <c r="R121" s="51"/>
      <c r="S121" s="51"/>
    </row>
    <row r="122" spans="1:19" s="20" customFormat="1" ht="17.25">
      <c r="A122" s="51"/>
      <c r="B122" s="51"/>
      <c r="C122" s="52"/>
      <c r="D122" s="51"/>
      <c r="F122" s="51"/>
      <c r="G122" s="51"/>
      <c r="H122" s="52"/>
      <c r="I122" s="52"/>
      <c r="J122" s="51"/>
      <c r="K122" s="51"/>
      <c r="L122" s="51"/>
      <c r="M122" s="52"/>
      <c r="N122" s="52"/>
      <c r="O122" s="51"/>
      <c r="P122" s="52"/>
      <c r="Q122" s="51"/>
      <c r="R122" s="51"/>
      <c r="S122" s="51"/>
    </row>
    <row r="123" spans="1:19" s="20" customFormat="1" ht="17.25">
      <c r="A123" s="51"/>
      <c r="B123" s="51"/>
      <c r="C123" s="52"/>
      <c r="D123" s="51"/>
      <c r="F123" s="51"/>
      <c r="G123" s="51"/>
      <c r="H123" s="52"/>
      <c r="I123" s="52"/>
      <c r="J123" s="51"/>
      <c r="K123" s="51"/>
      <c r="L123" s="51"/>
      <c r="M123" s="52"/>
      <c r="N123" s="52"/>
      <c r="O123" s="51"/>
      <c r="P123" s="52"/>
      <c r="Q123" s="51"/>
      <c r="R123" s="51"/>
      <c r="S123" s="51"/>
    </row>
    <row r="124" spans="1:19" s="20" customFormat="1" ht="17.25">
      <c r="A124" s="51"/>
      <c r="B124" s="51"/>
      <c r="C124" s="52"/>
      <c r="D124" s="51"/>
      <c r="F124" s="51"/>
      <c r="G124" s="51"/>
      <c r="H124" s="52"/>
      <c r="I124" s="52"/>
      <c r="J124" s="51"/>
      <c r="K124" s="51"/>
      <c r="L124" s="51"/>
      <c r="M124" s="52"/>
      <c r="N124" s="52"/>
      <c r="O124" s="51"/>
      <c r="P124" s="52"/>
      <c r="Q124" s="51"/>
      <c r="R124" s="51"/>
      <c r="S124" s="51"/>
    </row>
    <row r="125" spans="1:19" s="20" customFormat="1" ht="17.25">
      <c r="A125" s="51"/>
      <c r="B125" s="51"/>
      <c r="C125" s="52"/>
      <c r="D125" s="51"/>
      <c r="F125" s="51"/>
      <c r="G125" s="51"/>
      <c r="H125" s="52"/>
      <c r="I125" s="52"/>
      <c r="J125" s="51"/>
      <c r="K125" s="51"/>
      <c r="L125" s="51"/>
      <c r="M125" s="52"/>
      <c r="N125" s="52"/>
      <c r="O125" s="51"/>
      <c r="P125" s="52"/>
      <c r="Q125" s="51"/>
      <c r="R125" s="51"/>
      <c r="S125" s="51"/>
    </row>
    <row r="126" spans="1:19" s="20" customFormat="1" ht="17.25">
      <c r="A126" s="51"/>
      <c r="B126" s="51"/>
      <c r="C126" s="52"/>
      <c r="D126" s="51"/>
      <c r="F126" s="51"/>
      <c r="G126" s="51"/>
      <c r="H126" s="52"/>
      <c r="I126" s="52"/>
      <c r="J126" s="51"/>
      <c r="K126" s="51"/>
      <c r="L126" s="51"/>
      <c r="M126" s="52"/>
      <c r="N126" s="52"/>
      <c r="O126" s="51"/>
      <c r="P126" s="52"/>
      <c r="Q126" s="51"/>
      <c r="R126" s="51"/>
      <c r="S126" s="51"/>
    </row>
    <row r="127" spans="1:19" s="20" customFormat="1" ht="17.25">
      <c r="A127" s="51"/>
      <c r="B127" s="51"/>
      <c r="C127" s="52"/>
      <c r="D127" s="51"/>
      <c r="F127" s="51"/>
      <c r="G127" s="51"/>
      <c r="H127" s="52"/>
      <c r="I127" s="52"/>
      <c r="J127" s="51"/>
      <c r="K127" s="51"/>
      <c r="L127" s="51"/>
      <c r="M127" s="52"/>
      <c r="N127" s="52"/>
      <c r="O127" s="51"/>
      <c r="P127" s="52"/>
      <c r="Q127" s="51"/>
      <c r="R127" s="51"/>
      <c r="S127" s="51"/>
    </row>
    <row r="128" spans="1:19" s="20" customFormat="1" ht="17.25">
      <c r="A128" s="51"/>
      <c r="B128" s="51"/>
      <c r="C128" s="52"/>
      <c r="D128" s="51"/>
      <c r="F128" s="51"/>
      <c r="G128" s="51"/>
      <c r="H128" s="52"/>
      <c r="I128" s="52"/>
      <c r="J128" s="51"/>
      <c r="K128" s="51"/>
      <c r="L128" s="51"/>
      <c r="M128" s="52"/>
      <c r="N128" s="52"/>
      <c r="O128" s="51"/>
      <c r="P128" s="52"/>
      <c r="Q128" s="51"/>
      <c r="R128" s="51"/>
      <c r="S128" s="51"/>
    </row>
    <row r="129" spans="1:19" s="20" customFormat="1" ht="17.25">
      <c r="A129" s="51"/>
      <c r="B129" s="51"/>
      <c r="C129" s="52"/>
      <c r="D129" s="51"/>
      <c r="F129" s="51"/>
      <c r="G129" s="51"/>
      <c r="H129" s="52"/>
      <c r="I129" s="52"/>
      <c r="J129" s="51"/>
      <c r="K129" s="51"/>
      <c r="L129" s="51"/>
      <c r="M129" s="52"/>
      <c r="N129" s="52"/>
      <c r="O129" s="51"/>
      <c r="P129" s="52"/>
      <c r="Q129" s="51"/>
      <c r="R129" s="51"/>
      <c r="S129" s="51"/>
    </row>
    <row r="130" spans="1:19" s="20" customFormat="1" ht="17.25">
      <c r="A130" s="51"/>
      <c r="B130" s="51"/>
      <c r="C130" s="52"/>
      <c r="D130" s="51"/>
      <c r="F130" s="51"/>
      <c r="G130" s="51"/>
      <c r="H130" s="52"/>
      <c r="I130" s="52"/>
      <c r="J130" s="51"/>
      <c r="K130" s="51"/>
      <c r="L130" s="51"/>
      <c r="M130" s="52"/>
      <c r="N130" s="52"/>
      <c r="O130" s="51"/>
      <c r="P130" s="52"/>
      <c r="Q130" s="51"/>
      <c r="R130" s="51"/>
      <c r="S130" s="51"/>
    </row>
    <row r="131" spans="1:19" s="20" customFormat="1" ht="17.25">
      <c r="A131" s="51"/>
      <c r="B131" s="51"/>
      <c r="C131" s="52"/>
      <c r="D131" s="51"/>
      <c r="F131" s="51"/>
      <c r="G131" s="51"/>
      <c r="H131" s="52"/>
      <c r="I131" s="52"/>
      <c r="J131" s="51"/>
      <c r="K131" s="51"/>
      <c r="L131" s="51"/>
      <c r="M131" s="52"/>
      <c r="N131" s="52"/>
      <c r="O131" s="51"/>
      <c r="P131" s="52"/>
      <c r="Q131" s="51"/>
      <c r="R131" s="51"/>
      <c r="S131" s="51"/>
    </row>
    <row r="132" spans="1:19" s="20" customFormat="1" ht="17.25">
      <c r="A132" s="51"/>
      <c r="B132" s="51"/>
      <c r="C132" s="52"/>
      <c r="D132" s="51"/>
      <c r="F132" s="51"/>
      <c r="G132" s="51"/>
      <c r="H132" s="52"/>
      <c r="I132" s="52"/>
      <c r="J132" s="51"/>
      <c r="K132" s="51"/>
      <c r="L132" s="51"/>
      <c r="M132" s="52"/>
      <c r="N132" s="52"/>
      <c r="O132" s="51"/>
      <c r="P132" s="52"/>
      <c r="Q132" s="51"/>
      <c r="R132" s="51"/>
      <c r="S132" s="51"/>
    </row>
    <row r="133" spans="1:19" s="20" customFormat="1" ht="17.25">
      <c r="A133" s="51"/>
      <c r="B133" s="51"/>
      <c r="C133" s="52"/>
      <c r="D133" s="51"/>
      <c r="F133" s="51"/>
      <c r="G133" s="51"/>
      <c r="H133" s="52"/>
      <c r="I133" s="52"/>
      <c r="J133" s="51"/>
      <c r="K133" s="51"/>
      <c r="L133" s="51"/>
      <c r="M133" s="52"/>
      <c r="N133" s="52"/>
      <c r="O133" s="51"/>
      <c r="P133" s="52"/>
      <c r="Q133" s="51"/>
      <c r="R133" s="51"/>
      <c r="S133" s="51"/>
    </row>
    <row r="134" spans="1:19" s="20" customFormat="1" ht="17.25">
      <c r="A134" s="51"/>
      <c r="B134" s="51"/>
      <c r="C134" s="52"/>
      <c r="D134" s="51"/>
      <c r="F134" s="51"/>
      <c r="G134" s="51"/>
      <c r="H134" s="52"/>
      <c r="I134" s="52"/>
      <c r="J134" s="51"/>
      <c r="K134" s="51"/>
      <c r="L134" s="51"/>
      <c r="M134" s="52"/>
      <c r="N134" s="52"/>
      <c r="O134" s="51"/>
      <c r="P134" s="52"/>
      <c r="Q134" s="51"/>
      <c r="R134" s="51"/>
      <c r="S134" s="51"/>
    </row>
    <row r="135" spans="1:19" s="20" customFormat="1" ht="17.25">
      <c r="A135" s="51"/>
      <c r="B135" s="51"/>
      <c r="C135" s="52"/>
      <c r="D135" s="51"/>
      <c r="F135" s="51"/>
      <c r="G135" s="51"/>
      <c r="H135" s="52"/>
      <c r="I135" s="52"/>
      <c r="J135" s="51"/>
      <c r="K135" s="51"/>
      <c r="L135" s="51"/>
      <c r="M135" s="52"/>
      <c r="N135" s="52"/>
      <c r="O135" s="51"/>
      <c r="P135" s="52"/>
      <c r="Q135" s="51"/>
      <c r="R135" s="51"/>
      <c r="S135" s="51"/>
    </row>
    <row r="136" spans="1:19" s="20" customFormat="1" ht="17.25">
      <c r="A136" s="51"/>
      <c r="B136" s="51"/>
      <c r="C136" s="52"/>
      <c r="D136" s="51"/>
      <c r="F136" s="51"/>
      <c r="G136" s="51"/>
      <c r="H136" s="52"/>
      <c r="I136" s="52"/>
      <c r="J136" s="51"/>
      <c r="K136" s="51"/>
      <c r="L136" s="51"/>
      <c r="M136" s="52"/>
      <c r="N136" s="52"/>
      <c r="O136" s="51"/>
      <c r="P136" s="52"/>
      <c r="Q136" s="51"/>
      <c r="R136" s="51"/>
      <c r="S136" s="51"/>
    </row>
    <row r="137" spans="1:19" s="20" customFormat="1" ht="17.25">
      <c r="A137" s="51"/>
      <c r="B137" s="51"/>
      <c r="C137" s="52"/>
      <c r="D137" s="51"/>
      <c r="F137" s="51"/>
      <c r="G137" s="51"/>
      <c r="H137" s="52"/>
      <c r="I137" s="52"/>
      <c r="J137" s="51"/>
      <c r="K137" s="51"/>
      <c r="L137" s="51"/>
      <c r="M137" s="52"/>
      <c r="N137" s="52"/>
      <c r="O137" s="51"/>
      <c r="P137" s="52"/>
      <c r="Q137" s="51"/>
      <c r="R137" s="51"/>
      <c r="S137" s="51"/>
    </row>
    <row r="138" spans="1:19" s="20" customFormat="1" ht="17.25">
      <c r="A138" s="51"/>
      <c r="B138" s="51"/>
      <c r="C138" s="52"/>
      <c r="D138" s="51"/>
      <c r="F138" s="51"/>
      <c r="G138" s="51"/>
      <c r="H138" s="52"/>
      <c r="I138" s="52"/>
      <c r="J138" s="51"/>
      <c r="K138" s="51"/>
      <c r="L138" s="51"/>
      <c r="M138" s="52"/>
      <c r="N138" s="52"/>
      <c r="O138" s="51"/>
      <c r="P138" s="52"/>
      <c r="Q138" s="51"/>
      <c r="R138" s="51"/>
      <c r="S138" s="51"/>
    </row>
    <row r="139" spans="1:19" s="20" customFormat="1" ht="17.25">
      <c r="A139" s="51"/>
      <c r="B139" s="51"/>
      <c r="C139" s="52"/>
      <c r="D139" s="51"/>
      <c r="F139" s="51"/>
      <c r="G139" s="51"/>
      <c r="H139" s="52"/>
      <c r="I139" s="52"/>
      <c r="J139" s="51"/>
      <c r="K139" s="51"/>
      <c r="L139" s="51"/>
      <c r="M139" s="52"/>
      <c r="N139" s="52"/>
      <c r="O139" s="51"/>
      <c r="P139" s="52"/>
      <c r="Q139" s="51"/>
      <c r="R139" s="51"/>
      <c r="S139" s="51"/>
    </row>
    <row r="140" spans="1:19" s="20" customFormat="1" ht="17.25">
      <c r="A140" s="51"/>
      <c r="B140" s="51"/>
      <c r="C140" s="52"/>
      <c r="D140" s="51"/>
      <c r="F140" s="51"/>
      <c r="G140" s="51"/>
      <c r="H140" s="52"/>
      <c r="I140" s="52"/>
      <c r="J140" s="51"/>
      <c r="K140" s="51"/>
      <c r="L140" s="51"/>
      <c r="M140" s="52"/>
      <c r="N140" s="52"/>
      <c r="O140" s="51"/>
      <c r="P140" s="52"/>
      <c r="Q140" s="51"/>
      <c r="R140" s="51"/>
      <c r="S140" s="51"/>
    </row>
    <row r="141" spans="1:19" s="20" customFormat="1" ht="17.25">
      <c r="A141" s="51"/>
      <c r="B141" s="51"/>
      <c r="C141" s="52"/>
      <c r="D141" s="51"/>
      <c r="F141" s="51"/>
      <c r="G141" s="51"/>
      <c r="H141" s="52"/>
      <c r="I141" s="52"/>
      <c r="J141" s="51"/>
      <c r="K141" s="51"/>
      <c r="L141" s="51"/>
      <c r="M141" s="52"/>
      <c r="N141" s="52"/>
      <c r="O141" s="51"/>
      <c r="P141" s="52"/>
      <c r="Q141" s="51"/>
      <c r="R141" s="51"/>
      <c r="S141" s="51"/>
    </row>
    <row r="142" spans="1:19" s="20" customFormat="1" ht="17.25">
      <c r="A142" s="51"/>
      <c r="B142" s="51"/>
      <c r="C142" s="52"/>
      <c r="D142" s="51"/>
      <c r="F142" s="51"/>
      <c r="G142" s="51"/>
      <c r="H142" s="52"/>
      <c r="I142" s="52"/>
      <c r="J142" s="51"/>
      <c r="K142" s="51"/>
      <c r="L142" s="51"/>
      <c r="M142" s="52"/>
      <c r="N142" s="52"/>
      <c r="O142" s="51"/>
      <c r="P142" s="52"/>
      <c r="Q142" s="51"/>
      <c r="R142" s="51"/>
      <c r="S142" s="51"/>
    </row>
    <row r="143" spans="1:19" s="20" customFormat="1" ht="17.25">
      <c r="A143" s="51"/>
      <c r="B143" s="51"/>
      <c r="C143" s="52"/>
      <c r="D143" s="51"/>
      <c r="F143" s="51"/>
      <c r="G143" s="51"/>
      <c r="H143" s="52"/>
      <c r="I143" s="52"/>
      <c r="J143" s="51"/>
      <c r="K143" s="51"/>
      <c r="L143" s="51"/>
      <c r="M143" s="52"/>
      <c r="N143" s="52"/>
      <c r="O143" s="51"/>
      <c r="P143" s="52"/>
      <c r="Q143" s="51"/>
      <c r="R143" s="51"/>
      <c r="S143" s="51"/>
    </row>
    <row r="144" spans="1:19" s="20" customFormat="1" ht="17.25">
      <c r="A144" s="51"/>
      <c r="B144" s="51"/>
      <c r="C144" s="52"/>
      <c r="D144" s="51"/>
      <c r="F144" s="51"/>
      <c r="G144" s="51"/>
      <c r="H144" s="52"/>
      <c r="I144" s="52"/>
      <c r="J144" s="51"/>
      <c r="K144" s="51"/>
      <c r="L144" s="51"/>
      <c r="M144" s="52"/>
      <c r="N144" s="52"/>
      <c r="O144" s="51"/>
      <c r="P144" s="52"/>
      <c r="Q144" s="51"/>
      <c r="R144" s="51"/>
      <c r="S144" s="51"/>
    </row>
    <row r="145" spans="1:19" s="20" customFormat="1" ht="17.25">
      <c r="A145" s="51"/>
      <c r="B145" s="51"/>
      <c r="C145" s="52"/>
      <c r="D145" s="51"/>
      <c r="F145" s="51"/>
      <c r="G145" s="51"/>
      <c r="H145" s="52"/>
      <c r="I145" s="52"/>
      <c r="J145" s="51"/>
      <c r="K145" s="51"/>
      <c r="L145" s="51"/>
      <c r="M145" s="52"/>
      <c r="N145" s="52"/>
      <c r="O145" s="51"/>
      <c r="P145" s="52"/>
      <c r="Q145" s="51"/>
      <c r="R145" s="51"/>
      <c r="S145" s="51"/>
    </row>
    <row r="146" spans="1:19" s="20" customFormat="1" ht="17.25">
      <c r="A146" s="51"/>
      <c r="B146" s="51"/>
      <c r="C146" s="52"/>
      <c r="D146" s="51"/>
      <c r="F146" s="51"/>
      <c r="G146" s="51"/>
      <c r="H146" s="52"/>
      <c r="I146" s="52"/>
      <c r="J146" s="51"/>
      <c r="K146" s="51"/>
      <c r="L146" s="51"/>
      <c r="M146" s="52"/>
      <c r="N146" s="52"/>
      <c r="O146" s="51"/>
      <c r="P146" s="52"/>
      <c r="Q146" s="51"/>
      <c r="R146" s="51"/>
      <c r="S146" s="51"/>
    </row>
    <row r="147" spans="1:19" s="20" customFormat="1" ht="17.25">
      <c r="A147" s="51"/>
      <c r="B147" s="51"/>
      <c r="C147" s="52"/>
      <c r="D147" s="51"/>
      <c r="F147" s="51"/>
      <c r="G147" s="51"/>
      <c r="H147" s="52"/>
      <c r="I147" s="52"/>
      <c r="J147" s="51"/>
      <c r="K147" s="51"/>
      <c r="L147" s="51"/>
      <c r="M147" s="52"/>
      <c r="N147" s="52"/>
      <c r="O147" s="51"/>
      <c r="P147" s="52"/>
      <c r="Q147" s="51"/>
      <c r="R147" s="51"/>
      <c r="S147" s="51"/>
    </row>
    <row r="148" spans="1:19" s="20" customFormat="1" ht="17.25">
      <c r="A148" s="51"/>
      <c r="B148" s="51"/>
      <c r="C148" s="52"/>
      <c r="D148" s="51"/>
      <c r="F148" s="51"/>
      <c r="G148" s="51"/>
      <c r="H148" s="52"/>
      <c r="I148" s="52"/>
      <c r="J148" s="51"/>
      <c r="K148" s="51"/>
      <c r="L148" s="51"/>
      <c r="M148" s="52"/>
      <c r="N148" s="52"/>
      <c r="O148" s="51"/>
      <c r="P148" s="52"/>
      <c r="Q148" s="51"/>
      <c r="R148" s="51"/>
      <c r="S148" s="51"/>
    </row>
    <row r="149" spans="1:19" s="20" customFormat="1" ht="17.25">
      <c r="A149" s="51"/>
      <c r="B149" s="51"/>
      <c r="C149" s="52"/>
      <c r="D149" s="51"/>
      <c r="F149" s="51"/>
      <c r="G149" s="51"/>
      <c r="H149" s="52"/>
      <c r="I149" s="52"/>
      <c r="J149" s="51"/>
      <c r="K149" s="51"/>
      <c r="L149" s="51"/>
      <c r="M149" s="52"/>
      <c r="N149" s="52"/>
      <c r="O149" s="51"/>
      <c r="P149" s="52"/>
      <c r="Q149" s="51"/>
      <c r="R149" s="51"/>
      <c r="S149" s="51"/>
    </row>
    <row r="150" spans="1:19" s="20" customFormat="1" ht="17.25">
      <c r="A150" s="51"/>
      <c r="B150" s="51"/>
      <c r="C150" s="52"/>
      <c r="D150" s="51"/>
      <c r="F150" s="51"/>
      <c r="G150" s="51"/>
      <c r="H150" s="52"/>
      <c r="I150" s="52"/>
      <c r="J150" s="51"/>
      <c r="K150" s="51"/>
      <c r="L150" s="51"/>
      <c r="M150" s="52"/>
      <c r="N150" s="52"/>
      <c r="O150" s="51"/>
      <c r="P150" s="52"/>
      <c r="Q150" s="51"/>
      <c r="R150" s="51"/>
      <c r="S150" s="51"/>
    </row>
    <row r="151" spans="1:19" s="20" customFormat="1" ht="17.25">
      <c r="A151" s="51"/>
      <c r="B151" s="51"/>
      <c r="C151" s="52"/>
      <c r="D151" s="51"/>
      <c r="F151" s="51"/>
      <c r="G151" s="51"/>
      <c r="H151" s="52"/>
      <c r="I151" s="52"/>
      <c r="J151" s="51"/>
      <c r="K151" s="51"/>
      <c r="L151" s="51"/>
      <c r="M151" s="52"/>
      <c r="N151" s="52"/>
      <c r="O151" s="51"/>
      <c r="P151" s="52"/>
      <c r="Q151" s="51"/>
      <c r="R151" s="51"/>
      <c r="S151" s="51"/>
    </row>
    <row r="152" spans="1:19" s="20" customFormat="1" ht="17.25">
      <c r="A152" s="51"/>
      <c r="B152" s="51"/>
      <c r="C152" s="52"/>
      <c r="D152" s="51"/>
      <c r="F152" s="51"/>
      <c r="G152" s="51"/>
      <c r="H152" s="52"/>
      <c r="I152" s="52"/>
      <c r="J152" s="51"/>
      <c r="K152" s="51"/>
      <c r="L152" s="51"/>
      <c r="M152" s="52"/>
      <c r="N152" s="52"/>
      <c r="O152" s="51"/>
      <c r="P152" s="52"/>
      <c r="Q152" s="51"/>
      <c r="R152" s="51"/>
      <c r="S152" s="51"/>
    </row>
    <row r="153" spans="1:19" s="20" customFormat="1" ht="17.25">
      <c r="A153" s="51"/>
      <c r="B153" s="51"/>
      <c r="C153" s="52"/>
      <c r="D153" s="51"/>
      <c r="F153" s="51"/>
      <c r="G153" s="51"/>
      <c r="H153" s="52"/>
      <c r="I153" s="52"/>
      <c r="J153" s="51"/>
      <c r="K153" s="51"/>
      <c r="L153" s="51"/>
      <c r="M153" s="52"/>
      <c r="N153" s="52"/>
      <c r="O153" s="51"/>
      <c r="P153" s="52"/>
      <c r="Q153" s="51"/>
      <c r="R153" s="51"/>
      <c r="S153" s="51"/>
    </row>
    <row r="154" spans="1:19" s="20" customFormat="1" ht="17.25">
      <c r="A154" s="51"/>
      <c r="B154" s="51"/>
      <c r="C154" s="52"/>
      <c r="D154" s="51"/>
      <c r="F154" s="51"/>
      <c r="G154" s="51"/>
      <c r="H154" s="52"/>
      <c r="I154" s="52"/>
      <c r="J154" s="51"/>
      <c r="K154" s="51"/>
      <c r="L154" s="51"/>
      <c r="M154" s="52"/>
      <c r="N154" s="52"/>
      <c r="O154" s="51"/>
      <c r="P154" s="52"/>
      <c r="Q154" s="51"/>
      <c r="R154" s="51"/>
      <c r="S154" s="51"/>
    </row>
    <row r="155" spans="1:19" s="20" customFormat="1" ht="17.25">
      <c r="A155" s="51"/>
      <c r="B155" s="51"/>
      <c r="C155" s="52"/>
      <c r="D155" s="51"/>
      <c r="F155" s="51"/>
      <c r="G155" s="51"/>
      <c r="H155" s="52"/>
      <c r="I155" s="52"/>
      <c r="J155" s="51"/>
      <c r="K155" s="51"/>
      <c r="L155" s="51"/>
      <c r="M155" s="52"/>
      <c r="N155" s="52"/>
      <c r="O155" s="51"/>
      <c r="P155" s="52"/>
      <c r="Q155" s="51"/>
      <c r="R155" s="51"/>
      <c r="S155" s="51"/>
    </row>
    <row r="156" spans="1:19" s="20" customFormat="1" ht="17.25">
      <c r="A156" s="51"/>
      <c r="B156" s="51"/>
      <c r="C156" s="52"/>
      <c r="D156" s="51"/>
      <c r="F156" s="51"/>
      <c r="G156" s="51"/>
      <c r="H156" s="52"/>
      <c r="I156" s="52"/>
      <c r="J156" s="51"/>
      <c r="K156" s="51"/>
      <c r="L156" s="51"/>
      <c r="M156" s="52"/>
      <c r="N156" s="52"/>
      <c r="O156" s="51"/>
      <c r="P156" s="52"/>
      <c r="Q156" s="51"/>
      <c r="R156" s="51"/>
      <c r="S156" s="51"/>
    </row>
    <row r="157" spans="1:19" s="20" customFormat="1" ht="17.25">
      <c r="A157" s="51"/>
      <c r="B157" s="51"/>
      <c r="C157" s="52"/>
      <c r="D157" s="51"/>
      <c r="F157" s="51"/>
      <c r="G157" s="51"/>
      <c r="H157" s="52"/>
      <c r="I157" s="52"/>
      <c r="J157" s="51"/>
      <c r="K157" s="51"/>
      <c r="L157" s="51"/>
      <c r="M157" s="52"/>
      <c r="N157" s="52"/>
      <c r="O157" s="51"/>
      <c r="P157" s="52"/>
      <c r="Q157" s="51"/>
      <c r="R157" s="51"/>
      <c r="S157" s="51"/>
    </row>
    <row r="158" spans="1:19" s="20" customFormat="1" ht="17.25">
      <c r="A158" s="51"/>
      <c r="B158" s="51"/>
      <c r="C158" s="52"/>
      <c r="D158" s="51"/>
      <c r="F158" s="51"/>
      <c r="G158" s="51"/>
      <c r="H158" s="52"/>
      <c r="I158" s="52"/>
      <c r="J158" s="51"/>
      <c r="K158" s="51"/>
      <c r="L158" s="51"/>
      <c r="M158" s="52"/>
      <c r="N158" s="52"/>
      <c r="O158" s="51"/>
      <c r="P158" s="52"/>
      <c r="Q158" s="51"/>
      <c r="R158" s="51"/>
      <c r="S158" s="51"/>
    </row>
    <row r="159" spans="1:19" s="20" customFormat="1" ht="17.25">
      <c r="A159" s="51"/>
      <c r="B159" s="51"/>
      <c r="C159" s="52"/>
      <c r="D159" s="51"/>
      <c r="F159" s="51"/>
      <c r="G159" s="51"/>
      <c r="H159" s="52"/>
      <c r="I159" s="52"/>
      <c r="J159" s="51"/>
      <c r="K159" s="51"/>
      <c r="L159" s="51"/>
      <c r="M159" s="52"/>
      <c r="N159" s="52"/>
      <c r="O159" s="51"/>
      <c r="P159" s="52"/>
      <c r="Q159" s="51"/>
      <c r="R159" s="51"/>
      <c r="S159" s="51"/>
    </row>
    <row r="160" spans="1:19" s="20" customFormat="1" ht="17.25">
      <c r="A160" s="51"/>
      <c r="B160" s="51"/>
      <c r="C160" s="52"/>
      <c r="D160" s="51"/>
      <c r="F160" s="51"/>
      <c r="G160" s="51"/>
      <c r="H160" s="52"/>
      <c r="I160" s="52"/>
      <c r="J160" s="51"/>
      <c r="K160" s="51"/>
      <c r="L160" s="51"/>
      <c r="M160" s="52"/>
      <c r="N160" s="52"/>
      <c r="O160" s="51"/>
      <c r="P160" s="52"/>
      <c r="Q160" s="51"/>
      <c r="R160" s="51"/>
      <c r="S160" s="51"/>
    </row>
    <row r="161" spans="1:19" s="20" customFormat="1" ht="17.25">
      <c r="A161" s="51"/>
      <c r="B161" s="51"/>
      <c r="C161" s="52"/>
      <c r="D161" s="51"/>
      <c r="F161" s="51"/>
      <c r="G161" s="51"/>
      <c r="H161" s="52"/>
      <c r="I161" s="52"/>
      <c r="J161" s="51"/>
      <c r="K161" s="51"/>
      <c r="L161" s="51"/>
      <c r="M161" s="52"/>
      <c r="N161" s="52"/>
      <c r="O161" s="51"/>
      <c r="P161" s="52"/>
      <c r="Q161" s="51"/>
      <c r="R161" s="51"/>
      <c r="S161" s="51"/>
    </row>
  </sheetData>
  <sheetProtection sheet="1" objects="1" scenarios="1"/>
  <printOptions/>
  <pageMargins left="0.27569444444444446" right="0" top="0.44236111111111115" bottom="0.9840277777777778" header="0.27569444444444446" footer="0.5118055555555556"/>
  <pageSetup horizontalDpi="300" verticalDpi="300" orientation="portrait" paperSize="9"/>
  <headerFooter alignWithMargins="0">
    <oddHeader>&amp;L&amp;"Geneva,Gras"&amp;12&amp;F&amp;R&amp;"Geneva,Gras"&amp;12&amp;D -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Thomas</dc:creator>
  <cp:keywords/>
  <dc:description/>
  <cp:lastModifiedBy/>
  <cp:lastPrinted>2007-07-16T17:00:07Z</cp:lastPrinted>
  <dcterms:created xsi:type="dcterms:W3CDTF">2000-11-29T19:48:50Z</dcterms:created>
  <dcterms:modified xsi:type="dcterms:W3CDTF">2009-05-03T15:57:09Z</dcterms:modified>
  <cp:category/>
  <cp:version/>
  <cp:contentType/>
  <cp:contentStatus/>
  <cp:revision>123</cp:revision>
</cp:coreProperties>
</file>